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0u27IovmsH6o1WDke4mDylwLszirkRrESUr5/Y+sbKbQl/AqeO4aCNQRMSjmmJPY7LDUrsh2fZN/MLJpigVdcQ==" workbookSaltValue="jZuAAY33mjYfExTI/5eQw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L19" i="8"/>
  <c r="AP12" i="11"/>
  <c r="EN19" i="8"/>
  <c r="F12" i="21"/>
  <c r="G10" i="3"/>
  <c r="BA13" i="16"/>
  <c r="J10" i="2"/>
  <c r="AP10" i="11"/>
  <c r="T10" i="21"/>
  <c r="D11" i="2"/>
  <c r="ES19" i="8"/>
  <c r="G18" i="12"/>
  <c r="C18" i="7"/>
  <c r="BM19" i="8"/>
  <c r="AL13" i="16"/>
  <c r="S13" i="16"/>
  <c r="P13" i="16"/>
  <c r="AM13" i="20"/>
  <c r="M18" i="2"/>
  <c r="H13" i="12"/>
  <c r="BG10" i="8"/>
  <c r="BD15" i="8"/>
  <c r="BD9" i="8"/>
  <c r="BA13" i="8"/>
  <c r="E13" i="17"/>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E18" i="12"/>
  <c r="BD17" i="8"/>
  <c r="H17" i="7" s="1"/>
  <c r="I19" i="8"/>
  <c r="AV18" i="21"/>
  <c r="AH13" i="16"/>
  <c r="G12" i="12"/>
  <c r="BG12" i="8"/>
  <c r="Z13" i="17"/>
  <c r="F13" i="7"/>
  <c r="AB13" i="21"/>
  <c r="AB21" i="21" s="1"/>
  <c r="AC10" i="11"/>
  <c r="K9" i="7"/>
  <c r="AO9" i="11"/>
  <c r="F15" i="16"/>
  <c r="BL15" i="16" s="1"/>
  <c r="BE12" i="21"/>
  <c r="BE9" i="13"/>
  <c r="AL9" i="11"/>
  <c r="E11" i="6"/>
  <c r="R8" i="9"/>
  <c r="X10" i="17" s="1"/>
  <c r="X13" i="20"/>
  <c r="X16" i="20"/>
  <c r="X9" i="16"/>
  <c r="X19" i="16" s="1"/>
  <c r="R10" i="14"/>
  <c r="T9" i="11"/>
  <c r="AA17" i="16"/>
  <c r="V12" i="16"/>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K16" i="12" l="1"/>
  <c r="AB19" i="21"/>
  <c r="J12" i="12"/>
  <c r="K15" i="12"/>
  <c r="AZ15" i="11"/>
  <c r="AZ18" i="11" s="1"/>
  <c r="S11" i="17"/>
  <c r="T15" i="11"/>
  <c r="R16" i="14"/>
  <c r="S10" i="14"/>
  <c r="V10" i="14" s="1"/>
  <c r="S10" i="17"/>
  <c r="U10" i="21"/>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Q16" i="11" s="1"/>
  <c r="T11" i="11"/>
  <c r="BH16" i="11"/>
  <c r="AQ12" i="21"/>
  <c r="BJ16" i="11"/>
  <c r="BL16" i="11"/>
  <c r="AA10" i="16"/>
  <c r="S15" i="17"/>
  <c r="S16" i="17"/>
  <c r="L12" i="2"/>
  <c r="L17" i="2"/>
  <c r="X15" i="16"/>
  <c r="X18" i="16" s="1"/>
  <c r="T17" i="11"/>
  <c r="BH11" i="16"/>
  <c r="BH17" i="16"/>
  <c r="BM16" i="11"/>
  <c r="BL17" i="11"/>
  <c r="BF10" i="11"/>
  <c r="BK11" i="11"/>
  <c r="AP10" i="21"/>
  <c r="BH9" i="11"/>
  <c r="BI15" i="11"/>
  <c r="X17" i="20"/>
  <c r="BG9" i="11"/>
  <c r="BH17" i="11"/>
  <c r="AP17" i="20"/>
  <c r="BW9" i="20"/>
  <c r="BV16" i="16"/>
  <c r="BV15" i="16"/>
  <c r="BU9" i="17"/>
  <c r="BU17" i="17"/>
  <c r="AA16" i="16"/>
  <c r="X15" i="17"/>
  <c r="X17" i="17"/>
  <c r="P15" i="17"/>
  <c r="BL15" i="11"/>
  <c r="R11" i="14"/>
  <c r="Q15" i="17"/>
  <c r="BF15" i="11"/>
  <c r="BF18" i="11" s="1"/>
  <c r="BM9" i="11"/>
  <c r="BK10" i="11"/>
  <c r="L15" i="2"/>
  <c r="X10" i="21"/>
  <c r="X19" i="21" s="1"/>
  <c r="AA11" i="16"/>
  <c r="V9" i="16"/>
  <c r="BF11" i="11"/>
  <c r="BL9" i="11"/>
  <c r="BG10" i="11"/>
  <c r="P17" i="17"/>
  <c r="BK12" i="11"/>
  <c r="BK9" i="11"/>
  <c r="X11" i="17"/>
  <c r="X9" i="17"/>
  <c r="BM12" i="11"/>
  <c r="S9" i="14"/>
  <c r="V9" i="14" s="1"/>
  <c r="BJ15" i="11"/>
  <c r="BI17" i="11"/>
  <c r="BL11" i="11"/>
  <c r="BM15" i="11"/>
  <c r="Q15" i="11" s="1"/>
  <c r="BU15" i="17"/>
  <c r="BW17" i="20"/>
  <c r="BW16" i="20"/>
  <c r="BW15" i="20"/>
  <c r="BV10" i="16"/>
  <c r="BU12" i="17"/>
  <c r="AZ16" i="11"/>
  <c r="AZ11" i="11"/>
  <c r="S15" i="16"/>
  <c r="BF12" i="11"/>
  <c r="P12" i="11" s="1"/>
  <c r="BL10" i="11"/>
  <c r="BH10" i="16"/>
  <c r="BM17" i="11"/>
  <c r="S17" i="17"/>
  <c r="BH12" i="16"/>
  <c r="L10" i="2"/>
  <c r="L16" i="2"/>
  <c r="U9" i="17"/>
  <c r="U19" i="17" s="1"/>
  <c r="L9" i="2"/>
  <c r="AA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21" i="11" s="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Y13" i="11"/>
  <c r="AC16" i="11"/>
  <c r="K13" i="11"/>
  <c r="N18" i="11"/>
  <c r="AZ10" i="11"/>
  <c r="AT18" i="11"/>
  <c r="M13" i="11"/>
  <c r="L13" i="11"/>
  <c r="AP16" i="11"/>
  <c r="Z18" i="11"/>
  <c r="AB13" i="11"/>
  <c r="BH18" i="11"/>
  <c r="AQ16" i="11"/>
  <c r="W18" i="11"/>
  <c r="Y16" i="11"/>
  <c r="X18" i="11"/>
  <c r="AC9" i="11"/>
  <c r="H13" i="11"/>
  <c r="E13" i="12" s="1"/>
  <c r="AC13" i="11"/>
  <c r="S18" i="11"/>
  <c r="H18" i="11"/>
  <c r="X13" i="11"/>
  <c r="AA18" i="11"/>
  <c r="AA19" i="11" s="1"/>
  <c r="M18" i="11"/>
  <c r="C16" i="14"/>
  <c r="K16" i="14" s="1"/>
  <c r="AV19" i="17"/>
  <c r="J16" i="7"/>
  <c r="J16" i="12"/>
  <c r="F18" i="3"/>
  <c r="G18" i="3" s="1"/>
  <c r="H13" i="3"/>
  <c r="E18" i="6"/>
  <c r="BK18"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I18" i="16"/>
  <c r="D19" i="12"/>
  <c r="BF13" i="8"/>
  <c r="AY19" i="8"/>
  <c r="BW21" i="20"/>
  <c r="Q10" i="11"/>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18" i="11" l="1"/>
  <c r="AI19" i="11"/>
  <c r="BK13" i="11"/>
  <c r="BK19" i="11" s="1"/>
  <c r="P9" i="11"/>
  <c r="P17" i="11"/>
  <c r="BV13" i="16"/>
  <c r="BU21" i="17"/>
  <c r="AZ13" i="11"/>
  <c r="AZ19" i="11"/>
  <c r="BI18" i="11"/>
  <c r="Q12" i="11"/>
  <c r="P15" i="11"/>
  <c r="R19" i="20"/>
  <c r="S18" i="16"/>
  <c r="S19" i="16" s="1"/>
  <c r="BJ18" i="11"/>
  <c r="Q18" i="17"/>
  <c r="Q19" i="17" s="1"/>
  <c r="P18" i="17"/>
  <c r="P19" i="17"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<sst xmlns="http://schemas.openxmlformats.org/spreadsheetml/2006/main" count="2094" uniqueCount="913">
  <si>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</si>
  <si>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</si>
  <si>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</si>
  <si>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</si>
  <si>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</si>
  <si>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</si>
  <si>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</si>
  <si>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</si>
  <si>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</si>
  <si>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</si>
  <si>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</si>
  <si>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</si>
  <si>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</si>
  <si>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</si>
  <si>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</si>
  <si>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</si>
  <si>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</si>
  <si>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</si>
  <si>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</si>
  <si>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</si>
  <si>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</si>
  <si>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</si>
  <si>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</si>
  <si>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</si>
  <si>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</si>
  <si>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</si>
  <si>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</si>
  <si>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</si>
  <si>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</si>
  <si>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</si>
  <si>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</si>
  <si>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</si>
  <si>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</si>
  <si>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</si>
  <si>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</si>
  <si>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</si>
  <si>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</si>
  <si>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</si>
  <si>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</si>
  <si>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</si>
  <si>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</si>
  <si>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</si>
  <si>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</si>
  <si>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</si>
  <si>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</si>
  <si>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</si>
  <si>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</si>
  <si>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</si>
  <si>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</si>
  <si>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</si>
  <si>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</si>
  <si>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</si>
  <si>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</si>
  <si>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</si>
  <si>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</si>
  <si>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</si>
  <si>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</si>
  <si>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</si>
  <si>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</si>
  <si>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</si>
  <si>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</si>
  <si>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</si>
  <si>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</si>
  <si>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</si>
  <si>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</si>
  <si>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</si>
  <si>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</si>
  <si>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</si>
  <si>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</si>
  <si>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</si>
  <si>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</si>
  <si>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</si>
  <si>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</si>
  <si>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</si>
  <si>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</si>
  <si>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</si>
  <si>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</si>
  <si>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</si>
  <si>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</si>
  <si>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</si>
  <si>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</si>
  <si>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</si>
  <si>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</si>
  <si>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</si>
  <si>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</si>
  <si>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</si>
  <si>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</si>
  <si>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</si>
  <si>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</si>
  <si>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</si>
  <si>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</si>
  <si>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</si>
  <si>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</si>
  <si>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</si>
  <si>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</si>
  <si>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</si>
  <si>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</si>
  <si>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</si>
  <si>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</si>
  <si>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</si>
  <si>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</si>
  <si>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</si>
  <si>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</si>
  <si>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</si>
  <si>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</si>
  <si>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</si>
  <si>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</si>
  <si>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</si>
  <si>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</si>
  <si>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</si>
  <si>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</si>
  <si>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</si>
  <si>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</si>
  <si>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</si>
  <si>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</si>
  <si>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</si>
  <si>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</si>
  <si>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</si>
  <si>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</si>
  <si>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</si>
  <si>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</si>
  <si>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</si>
  <si>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</si>
  <si>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</si>
  <si>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</si>
  <si>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</si>
  <si>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</si>
  <si>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</si>
  <si>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</si>
  <si>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</si>
  <si>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</si>
  <si>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</si>
  <si>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</si>
  <si>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</si>
  <si>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</si>
  <si>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</si>
  <si>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</si>
  <si>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</si>
  <si>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</si>
  <si>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</si>
  <si>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</si>
  <si>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</si>
  <si>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</si>
  <si>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</si>
  <si>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</si>
  <si>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</si>
  <si>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</si>
  <si>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</si>
  <si>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</si>
  <si>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</si>
  <si>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</si>
  <si>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</si>
  <si>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</si>
  <si>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</si>
  <si>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</si>
  <si>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</si>
  <si>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</si>
  <si>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</si>
  <si>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</si>
  <si>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</si>
  <si>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</si>
  <si>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</si>
  <si>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</si>
  <si>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</si>
  <si>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</si>
  <si>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</si>
  <si>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</si>
  <si>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</si>
  <si>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</si>
  <si>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</si>
  <si>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</si>
  <si>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</si>
  <si>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</si>
  <si>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</si>
  <si>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</si>
  <si>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</si>
  <si>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</si>
  <si>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</si>
  <si>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</si>
  <si>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</si>
  <si>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</si>
  <si>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</si>
  <si>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</si>
  <si>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</si>
  <si>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</si>
  <si>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</si>
  <si>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</si>
  <si>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</si>
  <si>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</si>
  <si>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</si>
  <si>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</si>
  <si>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</si>
  <si>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</si>
  <si>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</si>
  <si>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</si>
  <si>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</si>
  <si>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</si>
  <si>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</si>
  <si>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</si>
  <si>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</si>
  <si>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</si>
  <si>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</si>
  <si>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</si>
  <si>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</si>
  <si>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</si>
  <si>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</si>
  <si>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</si>
  <si>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</si>
  <si>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</si>
  <si>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</si>
  <si>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</si>
  <si>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</si>
  <si>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</si>
  <si>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</si>
  <si>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</si>
  <si>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</si>
  <si>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</si>
  <si>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</si>
  <si>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</si>
  <si>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</si>
  <si>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</si>
  <si>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</si>
  <si>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</si>
  <si>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</si>
  <si>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</si>
  <si>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</si>
  <si>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</si>
  <si>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</si>
  <si>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</si>
  <si>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</si>
  <si>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</si>
  <si>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</si>
  <si>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</si>
  <si>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</si>
  <si>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</si>
  <si>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</si>
  <si>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</si>
  <si>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</si>
  <si>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</si>
  <si>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</si>
  <si>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</si>
  <si>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</si>
  <si>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</si>
  <si>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</si>
  <si>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</si>
  <si>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</si>
  <si>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</si>
  <si>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</si>
  <si>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</si>
  <si>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</si>
  <si>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</si>
  <si>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</si>
  <si>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</si>
  <si>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</si>
  <si>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</si>
  <si>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</si>
  <si>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</si>
  <si>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</si>
  <si>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</si>
  <si>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</si>
  <si>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</si>
  <si>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</si>
  <si>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</si>
  <si>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</si>
  <si>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</si>
  <si>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</si>
  <si>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</si>
  <si>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</si>
  <si>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</si>
  <si>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</si>
  <si>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</si>
  <si>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</si>
  <si>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</si>
  <si>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</si>
  <si>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</si>
  <si>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</si>
  <si>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</si>
  <si>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</si>
  <si>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</si>
  <si>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</si>
  <si>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</si>
  <si>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</si>
  <si>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</si>
  <si>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</si>
  <si>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</si>
  <si>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</si>
  <si>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</si>
  <si>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</si>
  <si>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</si>
  <si>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</si>
  <si>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</si>
  <si>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</si>
  <si>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</si>
  <si>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</si>
  <si>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</si>
  <si>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</si>
  <si>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</si>
  <si>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</si>
  <si>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</si>
  <si>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</si>
  <si>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</si>
  <si>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</si>
  <si>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</si>
  <si>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</si>
  <si>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</si>
  <si>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</si>
  <si>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</si>
  <si>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</si>
  <si>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</si>
  <si>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</si>
  <si>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</si>
  <si>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</si>
  <si>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</si>
  <si>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</si>
  <si>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</si>
  <si>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</si>
  <si>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</si>
  <si>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</si>
  <si>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</si>
  <si>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</si>
  <si>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</si>
  <si>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</si>
  <si>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</si>
  <si>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</si>
  <si>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</si>
  <si>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</si>
  <si>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</si>
  <si>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</si>
  <si>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</si>
  <si>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</si>
  <si>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</si>
  <si>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</si>
  <si>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</si>
  <si>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</si>
  <si>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</si>
  <si>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</si>
  <si>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</si>
  <si>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</si>
  <si>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</si>
  <si>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</si>
  <si>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</si>
  <si>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</si>
  <si>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</si>
  <si>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</si>
  <si>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</si>
  <si>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</si>
  <si>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</si>
  <si>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</si>
  <si>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</si>
  <si>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</si>
  <si>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</si>
  <si>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</si>
  <si>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</si>
  <si>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</si>
  <si>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</si>
  <si>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</si>
  <si>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</si>
  <si>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</si>
  <si>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</si>
  <si>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</si>
  <si>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</si>
  <si>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</si>
  <si>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</si>
  <si>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</si>
  <si>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</si>
  <si>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</si>
  <si>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</si>
  <si>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</si>
  <si>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</si>
  <si>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</si>
  <si>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</si>
  <si>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</si>
  <si>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</si>
  <si>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</si>
  <si>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</si>
  <si>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</si>
  <si>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</si>
  <si>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</si>
  <si>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</si>
  <si>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</si>
  <si>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</si>
  <si>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</si>
  <si>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</si>
  <si>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</si>
  <si>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</si>
  <si>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</si>
  <si>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</si>
  <si>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</si>
  <si>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</si>
  <si>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</si>
  <si>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</si>
  <si>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</si>
  <si>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</si>
  <si>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</si>
  <si>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</si>
  <si>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</si>
  <si>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</si>
  <si>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</si>
  <si>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</si>
  <si>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</si>
  <si>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</si>
  <si>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</si>
  <si>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</si>
  <si>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</si>
  <si>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</si>
  <si>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</si>
  <si>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</si>
  <si>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</si>
  <si>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</si>
  <si>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</si>
  <si>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</si>
  <si>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</si>
  <si>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</si>
  <si>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</si>
  <si>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</si>
  <si>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</si>
  <si>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</si>
  <si>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</si>
  <si>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</si>
  <si>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</si>
  <si>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</si>
  <si>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</si>
  <si>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</si>
  <si>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</si>
  <si>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</si>
  <si>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</si>
  <si>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</si>
  <si>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</si>
  <si>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</si>
  <si>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</si>
  <si>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</si>
  <si>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</si>
  <si>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</si>
  <si>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</si>
  <si>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</si>
  <si>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</si>
  <si>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</si>
  <si>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</si>
  <si>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</si>
  <si>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</si>
  <si>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</si>
  <si>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</si>
  <si>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</si>
  <si>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</si>
  <si>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</si>
  <si>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</si>
  <si>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</si>
  <si>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</si>
  <si>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</si>
  <si>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</si>
  <si>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</si>
  <si>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</si>
  <si>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</si>
  <si>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</si>
  <si>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</si>
  <si>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</si>
  <si>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</si>
  <si>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</si>
  <si>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</si>
  <si>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</si>
  <si>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</si>
  <si>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</si>
  <si>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</si>
  <si>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</si>
  <si>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</si>
  <si>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</si>
  <si>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</si>
  <si>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</si>
  <si>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</si>
  <si>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</si>
  <si>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</si>
  <si>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</si>
  <si>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</si>
  <si>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</si>
  <si>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</si>
  <si>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</si>
  <si>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</si>
  <si>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</si>
  <si>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</si>
  <si>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</si>
  <si>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</si>
  <si>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</si>
  <si>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</si>
  <si>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</si>
  <si>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</si>
  <si>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</si>
  <si>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</si>
  <si>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</si>
  <si>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</si>
  <si>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</si>
  <si>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</si>
  <si>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</si>
  <si>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</si>
  <si>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</si>
  <si>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</si>
  <si>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</si>
  <si>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</si>
  <si>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</si>
  <si>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</si>
  <si>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</si>
  <si>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</si>
  <si>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</si>
  <si>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</si>
  <si>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</si>
  <si>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</si>
  <si>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</si>
  <si>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</si>
  <si>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</si>
  <si>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</si>
  <si>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</si>
  <si>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</si>
  <si>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</si>
  <si>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</si>
  <si>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</si>
  <si>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</si>
  <si>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</si>
  <si>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</si>
  <si>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</si>
  <si>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</si>
  <si>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</si>
  <si>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</si>
  <si>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</si>
  <si>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</si>
  <si>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</si>
  <si>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</si>
  <si>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</si>
  <si>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</si>
  <si>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</si>
  <si>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</si>
  <si>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</si>
  <si>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</si>
  <si>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</si>
  <si>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</si>
  <si>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</si>
  <si>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</si>
  <si>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</si>
  <si>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</si>
  <si>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</si>
  <si>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</si>
  <si>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</si>
  <si>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</si>
  <si>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</si>
  <si>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</si>
  <si>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</si>
  <si>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</si>
  <si>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</si>
  <si>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</si>
  <si>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</si>
  <si>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</si>
  <si>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</si>
  <si>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</si>
  <si>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</si>
  <si>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</si>
  <si>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</si>
  <si>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</si>
  <si>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</si>
  <si>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</si>
  <si>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</si>
  <si>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</si>
  <si>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</si>
  <si>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</si>
  <si>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</si>
  <si>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</si>
  <si>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</si>
  <si>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</si>
  <si>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</si>
  <si>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</si>
  <si>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</si>
  <si>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</si>
  <si>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</si>
  <si>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</si>
  <si>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</si>
  <si>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</si>
  <si>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</si>
  <si>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</si>
  <si>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</si>
  <si>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</si>
  <si>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</si>
  <si>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</si>
  <si>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</si>
  <si>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</si>
  <si>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</si>
  <si>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</si>
  <si>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</si>
  <si>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</si>
  <si>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</si>
  <si>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</si>
  <si>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</si>
  <si>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</si>
  <si>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</si>
  <si>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</si>
  <si>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</si>
  <si>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</si>
  <si>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</si>
  <si>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</si>
  <si>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</si>
  <si>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</si>
  <si>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</si>
  <si>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</si>
  <si>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</si>
  <si>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</si>
  <si>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</si>
  <si>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</si>
  <si>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</si>
  <si>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</si>
  <si>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</si>
  <si>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</si>
  <si>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</si>
  <si>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</si>
  <si>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</si>
  <si>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</si>
  <si>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</si>
  <si>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</si>
  <si>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</si>
  <si>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</si>
  <si>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</si>
  <si>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</si>
  <si>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</si>
  <si>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</si>
  <si>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</si>
  <si>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</si>
  <si>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</si>
  <si>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</si>
  <si>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</si>
  <si>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</si>
  <si>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</si>
  <si>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</si>
  <si>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</si>
  <si>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</si>
  <si>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</si>
  <si>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</si>
  <si>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</si>
  <si>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</si>
  <si>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</si>
  <si>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</si>
  <si>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</si>
  <si>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</si>
  <si>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</si>
  <si>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</si>
  <si>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</si>
  <si>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</si>
  <si>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</si>
  <si>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</si>
  <si>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</si>
  <si>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</si>
  <si>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</si>
  <si>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</si>
  <si>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</si>
  <si>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</si>
  <si>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</si>
  <si>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</si>
  <si>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</si>
  <si>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</si>
  <si>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</si>
  <si>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</si>
  <si>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</si>
  <si>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</si>
  <si>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</si>
  <si>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</si>
  <si>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</si>
  <si>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</si>
  <si>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</si>
  <si>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</si>
  <si>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</si>
  <si>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</si>
  <si>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</si>
  <si>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</si>
  <si>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</si>
  <si>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</si>
  <si>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</si>
  <si>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</si>
  <si>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</si>
  <si>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</si>
  <si>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</si>
  <si>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</si>
  <si>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</si>
  <si>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</si>
  <si>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</si>
  <si>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</si>
  <si>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</si>
  <si>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</si>
  <si>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</si>
  <si>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</si>
  <si>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</si>
  <si>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</si>
  <si>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</si>
  <si>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</si>
  <si>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</si>
  <si>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</si>
  <si>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</si>
  <si>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</si>
  <si>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</si>
  <si>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</si>
  <si>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</si>
  <si>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</si>
  <si>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</si>
  <si>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</si>
  <si>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</si>
  <si>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</si>
  <si>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</si>
  <si>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</si>
  <si>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</si>
  <si>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</si>
  <si>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</si>
  <si>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</si>
  <si>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</si>
  <si>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</si>
  <si>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</si>
  <si>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</si>
  <si>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</si>
  <si>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</si>
  <si>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</si>
  <si>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</si>
  <si>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</si>
  <si>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</si>
  <si>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</si>
  <si>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</si>
  <si>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</si>
  <si>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</si>
  <si>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</si>
  <si>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</si>
  <si>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</si>
  <si>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</si>
  <si>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</si>
  <si>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</si>
  <si>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</si>
  <si>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</si>
  <si>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</si>
  <si>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</si>
  <si>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</si>
  <si>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</si>
  <si>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</si>
  <si>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</si>
  <si>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</si>
  <si>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</si>
  <si>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</si>
  <si>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</si>
  <si>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</si>
  <si>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</si>
  <si>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</si>
  <si>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</si>
  <si>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</si>
  <si>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</si>
  <si>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</si>
  <si>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</si>
  <si>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</si>
  <si>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</si>
  <si>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</si>
  <si>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</si>
  <si>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</si>
  <si>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</si>
  <si>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</si>
  <si>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</si>
  <si>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</si>
  <si>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</si>
  <si>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</si>
  <si>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</si>
  <si>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</si>
  <si>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</si>
  <si>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</si>
  <si>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</si>
  <si>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</si>
  <si>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</si>
  <si>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</si>
  <si>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</si>
  <si>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</si>
  <si>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</si>
  <si>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</si>
  <si>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</si>
  <si>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</si>
  <si>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</si>
  <si>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</si>
  <si>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</si>
  <si>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</si>
  <si>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</si>
  <si>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</si>
  <si>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</si>
  <si>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</si>
  <si>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</si>
  <si>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</si>
  <si>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</si>
  <si>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</si>
  <si>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</si>
  <si>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</si>
  <si>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</si>
  <si>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</si>
  <si>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</si>
  <si>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</si>
  <si>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</si>
  <si>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</si>
  <si>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</si>
  <si>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</si>
  <si>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</si>
  <si>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</si>
  <si>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</si>
  <si>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</si>
  <si>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</si>
  <si>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</si>
  <si>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</si>
  <si>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</si>
  <si>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</si>
  <si>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</si>
  <si>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</si>
  <si>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</si>
  <si>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</si>
  <si>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</si>
  <si>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</si>
  <si>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</si>
  <si>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</si>
  <si>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</si>
  <si>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</si>
  <si>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</si>
  <si>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</si>
  <si>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</si>
  <si>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</si>
  <si>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</si>
  <si>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</si>
  <si>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</si>
  <si>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</si>
  <si>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</si>
  <si>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</si>
  <si>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</si>
  <si>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</si>
  <si>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</si>
  <si>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</si>
  <si>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</si>
  <si>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</si>
  <si>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</si>
  <si>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</si>
  <si>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</si>
  <si>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</si>
  <si>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</si>
  <si>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</si>
  <si>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</si>
  <si>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</si>
  <si>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</si>
  <si>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</si>
  <si>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</si>
  <si>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</si>
  <si>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</si>
  <si>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</si>
  <si>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</si>
  <si>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</si>
  <si>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</si>
  <si>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</si>
  <si>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</si>
  <si>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</si>
  <si>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</si>
  <si>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</si>
  <si>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</si>
  <si>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</si>
  <si>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</si>
  <si>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</si>
  <si>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</si>
  <si>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</si>
  <si>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</si>
  <si>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</si>
  <si>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</si>
  <si>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</si>
  <si>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</si>
  <si>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</si>
  <si>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</si>
  <si>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</si>
  <si>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</si>
  <si>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</si>
  <si>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</si>
  <si>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</si>
  <si>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</si>
  <si>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</si>
  <si>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</si>
  <si>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</si>
  <si>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</si>
  <si>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</si>
  <si>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</si>
  <si>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</si>
  <si>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</si>
  <si>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</si>
  <si>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</si>
  <si>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</si>
  <si>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</si>
  <si>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</si>
  <si>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</si>
  <si>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</si>
  <si>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</si>
  <si>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</si>
  <si>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</si>
  <si>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</si>
  <si>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</si>
  <si>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</si>
  <si>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</si>
  <si>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</si>
  <si>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</si>
  <si>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</si>
  <si>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</si>
  <si>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</si>
  <si>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</si>
  <si>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</si>
  <si>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</si>
  <si>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</si>
  <si>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</si>
  <si>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</si>
  <si>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</si>
  <si>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</si>
  <si>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</si>
  <si>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</si>
  <si>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</si>
  <si>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</si>
  <si>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</si>
  <si>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</si>
  <si>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</si>
  <si>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</si>
  <si>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</si>
  <si>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CATARROJA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</si>
</sst>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9et66o10s4OzxBTgXJifky3FCNCWUL2NtmiGZoFQZR8MPYDwH2ZpZAVhveuEAMKv6T4bzYDh/7LmX5gyumvOg==" saltValue="n8gMmzqNRSBFGOOP/N/T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22</v>
      </c>
      <c r="D10" s="229">
        <f>IF(ISNUMBER(Datos!I10),Datos!I10," - ")</f>
        <v>22</v>
      </c>
      <c r="E10" s="230">
        <f>IF(ISNUMBER(Datos!J10),Datos!J10," - ")</f>
        <v>0</v>
      </c>
      <c r="F10" s="230">
        <f>IF(ISNUMBER(Datos!K10),Datos!K10," - ")</f>
        <v>15</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-0.68181818181818177</v>
      </c>
      <c r="L10" s="1201">
        <f>IF(ISNUMBER(NºAsuntos!I10/NºAsuntos!G10),(NºAsuntos!I10/NºAsuntos!G10)*11," - ")</f>
        <v>5.1333333333333337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22.103025936599426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22</v>
      </c>
      <c r="D13" s="1206">
        <f>SUBTOTAL(9,D9:D12)</f>
        <v>22</v>
      </c>
      <c r="E13" s="1207">
        <f>SUBTOTAL(9,E9:E12)</f>
        <v>0</v>
      </c>
      <c r="F13" s="1208">
        <f>SUBTOTAL(9,F9:F12)</f>
        <v>15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1434</v>
      </c>
      <c r="D16" s="229">
        <f>IF(ISNUMBER(IF(D_I="SI",Datos!I16,Datos!I16+Datos!AC16)),IF(D_I="SI",Datos!I16,Datos!I16+Datos!AC16)," - ")</f>
        <v>1434</v>
      </c>
      <c r="E16" s="230">
        <f>IF(ISNUMBER(IF(D_I="SI",Datos!J16,Datos!J16+Datos!AD16)),IF(D_I="SI",Datos!J16,Datos!J16+Datos!AD16)," - ")</f>
        <v>814</v>
      </c>
      <c r="F16" s="230">
        <f>IF(ISNUMBER(IF(D_I="SI",Datos!K16,Datos!K16+Datos!AE16)),IF(D_I="SI",Datos!K16,Datos!K16+Datos!AE16)," - ")</f>
        <v>910</v>
      </c>
      <c r="G16" s="1189" t="str">
        <f>IF(Datos!E16&lt;&gt;"",Datos!E16,Datos!D16)</f>
        <v>04</v>
      </c>
      <c r="H16" s="231">
        <f>IF(ISNUMBER(IF(D_I="SI",Datos!L16,Datos!L16+Datos!AF16)),IF(D_I="SI",Datos!L16,Datos!L16+Datos!AF16)," - ")</f>
        <v>1338</v>
      </c>
      <c r="I16" s="1199" t="str">
        <f>IF(ISNUMBER(Datos!AS16/Datos!BM16),Datos!AS16/Datos!BM16," - ")</f>
        <v xml:space="preserve"> - </v>
      </c>
      <c r="J16" s="1200">
        <f>IF(ISNUMBER(Datos!BY16/Datos!CN16),Datos!BY16/Datos!CN16," - ")</f>
        <v>0</v>
      </c>
      <c r="K16" s="234">
        <f t="shared" si="3"/>
        <v>-6.6945606694560664E-2</v>
      </c>
      <c r="L16" s="1201">
        <f>IF(ISNUMBER(NºAsuntos!I16/NºAsuntos!G16),(NºAsuntos!I16/NºAsuntos!G16)*11," - ")</f>
        <v>16.173626373626377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63</v>
      </c>
      <c r="D17" s="229">
        <f>IF(ISNUMBER(IF(D_I="SI",Datos!I17,Datos!I17+Datos!AC17)),IF(D_I="SI",Datos!I17,Datos!I17+Datos!AC17)," - ")</f>
        <v>63</v>
      </c>
      <c r="E17" s="230">
        <f>IF(ISNUMBER(IF(D_I="SI",Datos!J17,Datos!J17+Datos!AD17)),IF(D_I="SI",Datos!J17,Datos!J17+Datos!AD17)," - ")</f>
        <v>0</v>
      </c>
      <c r="F17" s="230">
        <f>IF(ISNUMBER(IF(D_I="SI",Datos!K17,Datos!K17+Datos!AE17)),IF(D_I="SI",Datos!K17,Datos!K17+Datos!AE17)," - ")</f>
        <v>25</v>
      </c>
      <c r="G17" s="1189" t="str">
        <f>IF(Datos!E17&lt;&gt;"",Datos!E17,Datos!D17)</f>
        <v>37</v>
      </c>
      <c r="H17" s="231">
        <f>IF(ISNUMBER(IF(D_I="SI",Datos!L17,Datos!L17+Datos!AF17)),IF(D_I="SI",Datos!L17,Datos!L17+Datos!AF17)," - ")</f>
        <v>38</v>
      </c>
      <c r="I17" s="1199" t="str">
        <f>IF(ISNUMBER(Datos!AS17/Datos!BM17),Datos!AS17/Datos!BM17," - ")</f>
        <v xml:space="preserve"> - </v>
      </c>
      <c r="J17" s="1200" t="str">
        <f>IF(ISNUMBER((Datos!BY17+Datos!BZ17)/Datos!CN17),(Datos!BY17+Datos!BZ17)/Datos!CN17," - ")</f>
        <v xml:space="preserve"> - </v>
      </c>
      <c r="K17" s="234">
        <f t="shared" si="3"/>
        <v>-0.3968253968253968</v>
      </c>
      <c r="L17" s="1201">
        <f>IF(ISNUMBER(NºAsuntos!I17/NºAsuntos!G17),(NºAsuntos!I17/NºAsuntos!G17)*11," - ")</f>
        <v>16.72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1497</v>
      </c>
      <c r="D18" s="1206">
        <f>SUBTOTAL(9,D15:D17)</f>
        <v>1497</v>
      </c>
      <c r="E18" s="1207">
        <f>SUBTOTAL(9,E15:E17)</f>
        <v>814</v>
      </c>
      <c r="F18" s="1207">
        <f>SUBTOTAL(9,F15:F17)</f>
        <v>935</v>
      </c>
      <c r="G18" s="1209" t="str">
        <f ca="1">INDIRECT(CONCATENATE("G",ROW()-1))</f>
        <v>37</v>
      </c>
      <c r="H18" s="1210">
        <f ca="1">SUMIF(G$14:G17,G18,H$14:H17)</f>
        <v>38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1519</v>
      </c>
      <c r="D19" s="1228">
        <f>SUBTOTAL(9,D9:D18)</f>
        <v>1519</v>
      </c>
      <c r="E19" s="1229">
        <f>SUBTOTAL(9,E9:E18)</f>
        <v>814</v>
      </c>
      <c r="F19" s="1229">
        <f>SUBTOTAL(9,F9:F18)</f>
        <v>950</v>
      </c>
      <c r="G19" s="1230"/>
      <c r="H19" s="1231">
        <f ca="1">SUMIF(B9:B18,"TOTAL",H9:H18)</f>
        <v>38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rrDt8zKNG3YqSnLK2jb1rkdgfpR8lIjO3RPH8O5aT2TbHKLkPFdBCPBvJ5qkW+SSAmUU6kBYvLUZLBPtcbNv/Q==" saltValue="7EgzgyhLxRN0FHFooq2nh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rLUrJ/sQ/grlsEp2ZLrDV2X0gmOd2A0767dRtjU0t751z1UgDZslHZuVzzduNFEjCSiU40zgjrbmEU5cPScaA==" saltValue="sYDn7cbObD93uHc2uXr7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22</v>
      </c>
      <c r="J10" s="185">
        <v>0</v>
      </c>
      <c r="K10" s="185">
        <v>15</v>
      </c>
      <c r="L10" s="185">
        <v>7</v>
      </c>
      <c r="M10" s="185">
        <v>0</v>
      </c>
      <c r="N10" s="185">
        <v>0</v>
      </c>
      <c r="O10" s="185">
        <v>0</v>
      </c>
      <c r="P10" s="185">
        <v>0</v>
      </c>
      <c r="Q10" s="185">
        <v>0</v>
      </c>
      <c r="R10" s="185">
        <v>10</v>
      </c>
      <c r="S10" s="185">
        <v>45</v>
      </c>
      <c r="T10" s="185">
        <v>3</v>
      </c>
      <c r="U10" s="185">
        <v>10</v>
      </c>
      <c r="V10" s="185">
        <v>38</v>
      </c>
      <c r="W10" s="185">
        <v>10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45</v>
      </c>
      <c r="AZ10" s="130">
        <f t="shared" si="0"/>
        <v>3</v>
      </c>
      <c r="BA10" s="130">
        <f t="shared" si="0"/>
        <v>10</v>
      </c>
      <c r="BB10" s="130">
        <f t="shared" si="0"/>
        <v>38</v>
      </c>
      <c r="BC10" s="126">
        <f t="shared" si="0"/>
        <v>10</v>
      </c>
      <c r="BD10" s="127">
        <f>IF(ISNUMBER(BA10/AZ10),BA10/AZ10," - ")</f>
        <v>3.3333333333333335</v>
      </c>
      <c r="BE10" s="128">
        <f>IF(ISNUMBER(BB10/BA10),BB10/BA10, " - ")</f>
        <v>3.8</v>
      </c>
      <c r="BF10" s="128">
        <f>IF(ISNUMBER(BC10/BA10),BC10/BA10, " - ")</f>
        <v>1</v>
      </c>
      <c r="BG10" s="200">
        <f>IF(ISNUMBER((AY10+AZ10)/BA10),(AY10+AZ10)/BA10," - ")</f>
        <v>4.8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2925</v>
      </c>
      <c r="J12" s="187">
        <v>1033</v>
      </c>
      <c r="K12" s="187">
        <v>1298</v>
      </c>
      <c r="L12" s="187">
        <v>2660</v>
      </c>
      <c r="M12" s="187">
        <v>200</v>
      </c>
      <c r="N12" s="187">
        <v>488</v>
      </c>
      <c r="O12" s="185">
        <v>389</v>
      </c>
      <c r="P12" s="187">
        <v>282</v>
      </c>
      <c r="Q12" s="187">
        <v>315</v>
      </c>
      <c r="R12" s="187">
        <v>4890</v>
      </c>
      <c r="S12" s="187">
        <v>2225</v>
      </c>
      <c r="T12" s="187">
        <v>1066</v>
      </c>
      <c r="U12" s="187">
        <v>887</v>
      </c>
      <c r="V12" s="187">
        <v>2392</v>
      </c>
      <c r="W12" s="187">
        <v>202</v>
      </c>
      <c r="X12" s="193">
        <v>506</v>
      </c>
      <c r="Y12" s="195">
        <v>124</v>
      </c>
      <c r="Z12" s="185">
        <v>95</v>
      </c>
      <c r="AA12" s="185">
        <v>90</v>
      </c>
      <c r="AB12" s="185">
        <v>129</v>
      </c>
      <c r="AC12" s="187">
        <v>0</v>
      </c>
      <c r="AD12" s="187">
        <v>0</v>
      </c>
      <c r="AE12" s="187">
        <v>0</v>
      </c>
      <c r="AF12" s="193">
        <v>0</v>
      </c>
      <c r="AG12" s="206">
        <v>126</v>
      </c>
      <c r="AH12" s="187">
        <v>93</v>
      </c>
      <c r="AI12" s="187">
        <v>101</v>
      </c>
      <c r="AJ12" s="207">
        <v>118</v>
      </c>
      <c r="AK12" s="186">
        <v>0</v>
      </c>
      <c r="AL12" s="187">
        <v>0</v>
      </c>
      <c r="AM12" s="187">
        <v>0</v>
      </c>
      <c r="AN12" s="193">
        <v>0</v>
      </c>
      <c r="AO12" s="263">
        <v>5</v>
      </c>
      <c r="AP12" s="159">
        <v>5</v>
      </c>
      <c r="AQ12" s="159">
        <v>5</v>
      </c>
      <c r="AR12" s="158">
        <v>5</v>
      </c>
      <c r="AS12" s="349" t="s">
        <v>811</v>
      </c>
      <c r="AT12" s="207"/>
      <c r="AU12" s="206"/>
      <c r="AV12" s="207"/>
      <c r="AW12" s="206"/>
      <c r="AX12" s="207"/>
      <c r="AY12" s="127">
        <f t="shared" si="1"/>
        <v>2351</v>
      </c>
      <c r="AZ12" s="128">
        <f t="shared" si="1"/>
        <v>1159</v>
      </c>
      <c r="BA12" s="128">
        <f t="shared" si="1"/>
        <v>988</v>
      </c>
      <c r="BB12" s="128">
        <f t="shared" si="1"/>
        <v>2510</v>
      </c>
      <c r="BC12" s="126">
        <f>IF(ISNUMBER(X12),X12," - ")</f>
        <v>506</v>
      </c>
      <c r="BD12" s="127">
        <f t="shared" si="2"/>
        <v>0.85245901639344257</v>
      </c>
      <c r="BE12" s="128">
        <f t="shared" si="3"/>
        <v>2.5404858299595143</v>
      </c>
      <c r="BF12" s="128">
        <f t="shared" si="4"/>
        <v>0.51214574898785425</v>
      </c>
      <c r="BG12" s="200">
        <f t="shared" si="5"/>
        <v>3.5526315789473686</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2947</v>
      </c>
      <c r="J13" s="188">
        <f t="shared" si="6"/>
        <v>1033</v>
      </c>
      <c r="K13" s="188">
        <f t="shared" si="6"/>
        <v>1313</v>
      </c>
      <c r="L13" s="188">
        <f t="shared" si="6"/>
        <v>2667</v>
      </c>
      <c r="M13" s="188">
        <f t="shared" si="6"/>
        <v>200</v>
      </c>
      <c r="N13" s="188">
        <f t="shared" si="6"/>
        <v>488</v>
      </c>
      <c r="O13" s="188">
        <f t="shared" si="6"/>
        <v>389</v>
      </c>
      <c r="P13" s="188">
        <f t="shared" si="6"/>
        <v>282</v>
      </c>
      <c r="Q13" s="188">
        <f t="shared" si="6"/>
        <v>315</v>
      </c>
      <c r="R13" s="188">
        <f t="shared" si="6"/>
        <v>4900</v>
      </c>
      <c r="S13" s="188">
        <f t="shared" si="6"/>
        <v>2270</v>
      </c>
      <c r="T13" s="188">
        <f t="shared" si="6"/>
        <v>1069</v>
      </c>
      <c r="U13" s="188">
        <f t="shared" si="6"/>
        <v>897</v>
      </c>
      <c r="V13" s="188">
        <f t="shared" si="6"/>
        <v>2430</v>
      </c>
      <c r="W13" s="188">
        <f t="shared" si="6"/>
        <v>212</v>
      </c>
      <c r="X13" s="188">
        <f t="shared" si="6"/>
        <v>506</v>
      </c>
      <c r="Y13" s="188">
        <f t="shared" si="6"/>
        <v>124</v>
      </c>
      <c r="Z13" s="188">
        <f t="shared" si="6"/>
        <v>95</v>
      </c>
      <c r="AA13" s="188">
        <f t="shared" si="6"/>
        <v>90</v>
      </c>
      <c r="AB13" s="188">
        <f t="shared" si="6"/>
        <v>129</v>
      </c>
      <c r="AC13" s="188">
        <f t="shared" si="6"/>
        <v>0</v>
      </c>
      <c r="AD13" s="188">
        <f t="shared" si="6"/>
        <v>0</v>
      </c>
      <c r="AE13" s="188">
        <f t="shared" si="6"/>
        <v>0</v>
      </c>
      <c r="AF13" s="188">
        <f>SUBTOTAL(9,AF9:AF12)</f>
        <v>0</v>
      </c>
      <c r="AG13" s="188">
        <f t="shared" ref="AG13:AT13" si="7">SUBTOTAL(9,AG8:AG12)</f>
        <v>126</v>
      </c>
      <c r="AH13" s="188">
        <f t="shared" si="7"/>
        <v>93</v>
      </c>
      <c r="AI13" s="188">
        <f t="shared" si="7"/>
        <v>101</v>
      </c>
      <c r="AJ13" s="188">
        <f t="shared" si="7"/>
        <v>118</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2396</v>
      </c>
      <c r="AZ13" s="188">
        <f>SUBTOTAL(9,AZ8:AZ12)</f>
        <v>1162</v>
      </c>
      <c r="BA13" s="188">
        <f>SUBTOTAL(9,BA8:BA12)</f>
        <v>998</v>
      </c>
      <c r="BB13" s="188">
        <f>SUBTOTAL(9,BB8:BB12)</f>
        <v>2548</v>
      </c>
      <c r="BC13" s="188">
        <f>SUBTOTAL(9,BC8:BC12)</f>
        <v>516</v>
      </c>
      <c r="BD13" s="209">
        <f>IF(ISNUMBER(BA13/AZ13),BA13/AZ13," - ")</f>
        <v>0.85886402753872637</v>
      </c>
      <c r="BE13" s="210">
        <f>IF(ISNUMBER(BB13/BA13),BB13/BA13, " - ")</f>
        <v>2.5531062124248498</v>
      </c>
      <c r="BF13" s="210">
        <f>IF(ISNUMBER(BC13/BA13),BC13/BA13, " - ")</f>
        <v>0.51703406813627251</v>
      </c>
      <c r="BG13" s="211">
        <f>IF(ISNUMBER((AY13+AZ13)/BA13),(AY13+AZ13)/BA13," - ")</f>
        <v>3.565130260521042</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1434</v>
      </c>
      <c r="J16" s="187">
        <v>814</v>
      </c>
      <c r="K16" s="187">
        <v>910</v>
      </c>
      <c r="L16" s="187">
        <v>1338</v>
      </c>
      <c r="M16" s="187">
        <v>136</v>
      </c>
      <c r="N16" s="187">
        <v>539</v>
      </c>
      <c r="O16" s="185">
        <v>37</v>
      </c>
      <c r="P16" s="187">
        <v>51</v>
      </c>
      <c r="Q16" s="187">
        <v>59</v>
      </c>
      <c r="R16" s="187">
        <v>193</v>
      </c>
      <c r="S16" s="187">
        <v>899</v>
      </c>
      <c r="T16" s="187">
        <v>1158</v>
      </c>
      <c r="U16" s="187">
        <v>1173</v>
      </c>
      <c r="V16" s="187">
        <v>1041</v>
      </c>
      <c r="W16" s="187">
        <v>152</v>
      </c>
      <c r="X16" s="193">
        <v>678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5</v>
      </c>
      <c r="AP16" s="159">
        <v>5</v>
      </c>
      <c r="AQ16" s="159">
        <v>5</v>
      </c>
      <c r="AR16" s="159">
        <v>5</v>
      </c>
      <c r="AS16" s="349" t="s">
        <v>491</v>
      </c>
      <c r="AT16" s="207"/>
      <c r="AU16" s="206"/>
      <c r="AV16" s="207"/>
      <c r="AW16" s="206"/>
      <c r="AX16" s="207"/>
      <c r="AY16" s="127">
        <f t="shared" si="9"/>
        <v>899</v>
      </c>
      <c r="AZ16" s="128">
        <f t="shared" si="9"/>
        <v>1158</v>
      </c>
      <c r="BA16" s="128">
        <f t="shared" si="9"/>
        <v>1173</v>
      </c>
      <c r="BB16" s="128">
        <f t="shared" si="9"/>
        <v>1041</v>
      </c>
      <c r="BC16" s="126">
        <f>IF(ISNUMBER(W16),W16," - ")</f>
        <v>152</v>
      </c>
      <c r="BD16" s="127">
        <f t="shared" ref="BD16" si="11">IF(ISNUMBER(BA16/AZ16),BA16/AZ16," - ")</f>
        <v>1.0129533678756477</v>
      </c>
      <c r="BE16" s="128">
        <f t="shared" ref="BE16" si="12">IF(ISNUMBER(BB16/BA16),BB16/BA16, " - ")</f>
        <v>0.88746803069053704</v>
      </c>
      <c r="BF16" s="128">
        <f t="shared" ref="BF16" si="13">IF(ISNUMBER(BC16/BA16),BC16/BA16, " - ")</f>
        <v>0.12958226768968456</v>
      </c>
      <c r="BG16" s="200">
        <f t="shared" si="10"/>
        <v>1.7536231884057971</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63</v>
      </c>
      <c r="J17" s="187">
        <v>0</v>
      </c>
      <c r="K17" s="187">
        <v>25</v>
      </c>
      <c r="L17" s="187">
        <v>38</v>
      </c>
      <c r="M17" s="187">
        <v>4</v>
      </c>
      <c r="N17" s="187">
        <v>12</v>
      </c>
      <c r="O17" s="187">
        <v>0</v>
      </c>
      <c r="P17" s="187">
        <v>0</v>
      </c>
      <c r="Q17" s="187">
        <v>0</v>
      </c>
      <c r="R17" s="187">
        <v>0</v>
      </c>
      <c r="S17" s="187">
        <v>111</v>
      </c>
      <c r="T17" s="187">
        <v>156</v>
      </c>
      <c r="U17" s="187">
        <v>147</v>
      </c>
      <c r="V17" s="187">
        <v>120</v>
      </c>
      <c r="W17" s="187">
        <v>36</v>
      </c>
      <c r="X17" s="193">
        <v>67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111</v>
      </c>
      <c r="AZ17" s="130">
        <f t="shared" si="14"/>
        <v>156</v>
      </c>
      <c r="BA17" s="130">
        <f t="shared" si="14"/>
        <v>147</v>
      </c>
      <c r="BB17" s="130">
        <f t="shared" si="14"/>
        <v>120</v>
      </c>
      <c r="BC17" s="126">
        <f>IF(ISNUMBER(W17),W17," - ")</f>
        <v>36</v>
      </c>
      <c r="BD17" s="127">
        <f>IF(ISNUMBER(BA17/AZ17),BA17/AZ17," - ")</f>
        <v>0.94230769230769229</v>
      </c>
      <c r="BE17" s="128">
        <f>IF(ISNUMBER(BB17/BA17),BB17/BA17, " - ")</f>
        <v>0.81632653061224492</v>
      </c>
      <c r="BF17" s="128">
        <f>IF(ISNUMBER(BC17/BA17),BC17/BA17, " - ")</f>
        <v>0.24489795918367346</v>
      </c>
      <c r="BG17" s="200">
        <f>IF(ISNUMBER((AY17+AZ17)/BA17),(AY17+AZ17)/BA17," - ")</f>
        <v>1.8163265306122449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1497</v>
      </c>
      <c r="J18" s="188">
        <f t="shared" si="15"/>
        <v>814</v>
      </c>
      <c r="K18" s="188">
        <f t="shared" si="15"/>
        <v>935</v>
      </c>
      <c r="L18" s="188">
        <f t="shared" si="15"/>
        <v>1376</v>
      </c>
      <c r="M18" s="188">
        <f t="shared" si="15"/>
        <v>140</v>
      </c>
      <c r="N18" s="188">
        <f t="shared" si="15"/>
        <v>551</v>
      </c>
      <c r="O18" s="188">
        <f t="shared" si="15"/>
        <v>37</v>
      </c>
      <c r="P18" s="188">
        <f t="shared" si="15"/>
        <v>51</v>
      </c>
      <c r="Q18" s="188">
        <f t="shared" si="15"/>
        <v>59</v>
      </c>
      <c r="R18" s="188">
        <f t="shared" si="15"/>
        <v>193</v>
      </c>
      <c r="S18" s="188">
        <f t="shared" si="15"/>
        <v>1010</v>
      </c>
      <c r="T18" s="188">
        <f t="shared" si="15"/>
        <v>1314</v>
      </c>
      <c r="U18" s="188">
        <f t="shared" si="15"/>
        <v>1320</v>
      </c>
      <c r="V18" s="188">
        <f t="shared" si="15"/>
        <v>1161</v>
      </c>
      <c r="W18" s="188">
        <f t="shared" si="15"/>
        <v>188</v>
      </c>
      <c r="X18" s="188">
        <f t="shared" si="15"/>
        <v>745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1010</v>
      </c>
      <c r="AZ18" s="188">
        <f>SUBTOTAL(9,AZ14:AZ17)</f>
        <v>1314</v>
      </c>
      <c r="BA18" s="188">
        <f>SUBTOTAL(9,BA14:BA17)</f>
        <v>1320</v>
      </c>
      <c r="BB18" s="188">
        <f>SUBTOTAL(9,BB14:BB17)</f>
        <v>1161</v>
      </c>
      <c r="BC18" s="188">
        <f>SUBTOTAL(9,BC14:BC17)</f>
        <v>188</v>
      </c>
      <c r="BD18" s="209">
        <f>IF(ISNUMBER(BA18/AZ18),BA18/AZ18," - ")</f>
        <v>1.004566210045662</v>
      </c>
      <c r="BE18" s="210">
        <f>IF(ISNUMBER(BB18/BA18),BB18/BA18, " - ")</f>
        <v>0.87954545454545452</v>
      </c>
      <c r="BF18" s="210">
        <f>IF(ISNUMBER(BC18/BA18),BC18/BA18, " - ")</f>
        <v>0.14242424242424243</v>
      </c>
      <c r="BG18" s="211">
        <f>IF(ISNUMBER((AY18+AZ18)/BA18),(AY18+AZ18)/BA18," - ")</f>
        <v>1.7606060606060605</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4444</v>
      </c>
      <c r="J19" s="135">
        <f t="shared" si="18"/>
        <v>1847</v>
      </c>
      <c r="K19" s="135">
        <f t="shared" si="18"/>
        <v>2248</v>
      </c>
      <c r="L19" s="135">
        <f t="shared" si="18"/>
        <v>4043</v>
      </c>
      <c r="M19" s="135">
        <f t="shared" si="18"/>
        <v>340</v>
      </c>
      <c r="N19" s="135">
        <f t="shared" si="18"/>
        <v>1039</v>
      </c>
      <c r="O19" s="135">
        <f t="shared" si="18"/>
        <v>426</v>
      </c>
      <c r="P19" s="135">
        <f t="shared" si="18"/>
        <v>333</v>
      </c>
      <c r="Q19" s="135">
        <f t="shared" si="18"/>
        <v>374</v>
      </c>
      <c r="R19" s="135">
        <f t="shared" si="18"/>
        <v>5093</v>
      </c>
      <c r="S19" s="135">
        <f t="shared" si="18"/>
        <v>3280</v>
      </c>
      <c r="T19" s="135">
        <f t="shared" si="18"/>
        <v>2383</v>
      </c>
      <c r="U19" s="135">
        <f t="shared" si="18"/>
        <v>2217</v>
      </c>
      <c r="V19" s="135">
        <f t="shared" si="18"/>
        <v>3591</v>
      </c>
      <c r="W19" s="135">
        <f t="shared" si="18"/>
        <v>400</v>
      </c>
      <c r="X19" s="135">
        <f t="shared" si="18"/>
        <v>1251</v>
      </c>
      <c r="Y19" s="135">
        <f t="shared" si="18"/>
        <v>124</v>
      </c>
      <c r="Z19" s="135">
        <f t="shared" si="18"/>
        <v>95</v>
      </c>
      <c r="AA19" s="135">
        <f t="shared" si="18"/>
        <v>90</v>
      </c>
      <c r="AB19" s="135">
        <f t="shared" si="18"/>
        <v>129</v>
      </c>
      <c r="AC19" s="135">
        <f t="shared" si="18"/>
        <v>0</v>
      </c>
      <c r="AD19" s="135">
        <f t="shared" si="18"/>
        <v>0</v>
      </c>
      <c r="AE19" s="135">
        <f t="shared" si="18"/>
        <v>0</v>
      </c>
      <c r="AF19" s="135">
        <f t="shared" si="18"/>
        <v>0</v>
      </c>
      <c r="AG19" s="135">
        <f t="shared" si="18"/>
        <v>126</v>
      </c>
      <c r="AH19" s="135">
        <f t="shared" si="18"/>
        <v>93</v>
      </c>
      <c r="AI19" s="135">
        <f t="shared" si="18"/>
        <v>101</v>
      </c>
      <c r="AJ19" s="135">
        <f t="shared" si="18"/>
        <v>118</v>
      </c>
      <c r="AK19" s="135">
        <f t="shared" si="18"/>
        <v>0</v>
      </c>
      <c r="AL19" s="135">
        <f t="shared" si="18"/>
        <v>0</v>
      </c>
      <c r="AM19" s="135">
        <f t="shared" si="18"/>
        <v>0</v>
      </c>
      <c r="AN19" s="214">
        <f t="shared" si="18"/>
        <v>0</v>
      </c>
      <c r="AO19" s="215">
        <v>6</v>
      </c>
      <c r="AP19" s="215">
        <v>5</v>
      </c>
      <c r="AQ19" s="215">
        <v>5</v>
      </c>
      <c r="AR19" s="215">
        <v>5</v>
      </c>
      <c r="AS19" s="157">
        <f t="shared" si="18"/>
        <v>0</v>
      </c>
      <c r="AT19" s="157">
        <f t="shared" si="18"/>
        <v>0</v>
      </c>
      <c r="AU19" s="215"/>
      <c r="AV19" s="216"/>
      <c r="AW19" s="215"/>
      <c r="AX19" s="216"/>
      <c r="AY19" s="134">
        <f>SUBTOTAL(9,AY9:AY18)</f>
        <v>3406</v>
      </c>
      <c r="AZ19" s="135">
        <f>SUBTOTAL(9,AZ9:AZ18)</f>
        <v>2476</v>
      </c>
      <c r="BA19" s="135">
        <f>SUBTOTAL(9,BA9:BA18)</f>
        <v>2318</v>
      </c>
      <c r="BB19" s="135">
        <f>SUBTOTAL(9,BB9:BB18)</f>
        <v>3709</v>
      </c>
      <c r="BC19" s="136">
        <f>SUBTOTAL(9,BC9:BC18)</f>
        <v>704</v>
      </c>
      <c r="BD19" s="217">
        <f>IF(ISNUMBER(BA19/AZ19),BA19/AZ19," - ")</f>
        <v>0.9361873990306947</v>
      </c>
      <c r="BE19" s="214">
        <f>IF(ISNUMBER(BB19/BA19),BB19/BA19, " - ")</f>
        <v>1.600086281276963</v>
      </c>
      <c r="BF19" s="214">
        <f>IF(ISNUMBER(BC19/BA19),BC19/BA19, " - ")</f>
        <v>0.30371009490940465</v>
      </c>
      <c r="BG19" s="136">
        <f>IF(ISNUMBER((AY19+AZ19)/BA19),(AY19+AZ19)/BA19," - ")</f>
        <v>2.5375323554788611</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POn9+EzNsgMmar0zplMOwzt15U0O1XApzHtZoYh7HDeWjGiUx0HghGwEWjMLwmW2wkKdgQ+IeUM0Gu6cvvt0Q==" saltValue="tG02n/5Za1SUQ5TRCsIoR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SW8GMSgETJ44dKX7yZPDzY5iLfvc+p1HSKuUzP8tvX/InMWPWRrXjos1C/c9k3TXhYy63a8kAhUCdPaFUcgQ==" saltValue="Kv1/kv4Qsl3Zx7iHt2cgu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CATARROJA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22</v>
      </c>
      <c r="G10" s="497">
        <f>IF(ISNUMBER(Datos!I10),Datos!I10," - ")</f>
        <v>22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15</v>
      </c>
      <c r="AC10" s="501">
        <f>IF(ISNUMBER(Datos!Q10),Datos!Q10," - ")</f>
        <v>0</v>
      </c>
      <c r="AD10" s="503"/>
      <c r="AE10" s="516"/>
      <c r="AF10" s="505">
        <f>IF(ISNUMBER(Datos!L10),Datos!L10,"-")</f>
        <v>7</v>
      </c>
      <c r="AG10" s="503"/>
      <c r="AH10" s="503"/>
      <c r="AI10" s="503"/>
      <c r="AJ10" s="503"/>
      <c r="AK10" s="503"/>
      <c r="AL10" s="504"/>
      <c r="AM10" s="671">
        <f>IF(ISNUMBER(Datos!R10),Datos!R10," - ")</f>
        <v>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0.93333333333333346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95</v>
      </c>
      <c r="O12" s="503"/>
      <c r="P12" s="503"/>
      <c r="Q12" s="501">
        <f>IF(ISNUMBER(Datos!P12),Datos!P12,0)</f>
        <v>282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315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129</v>
      </c>
      <c r="AI12" s="503" t="str">
        <f>IF(ISNUMBER(Datos!CD12),Datos!CD12,"-")</f>
        <v>-</v>
      </c>
      <c r="AJ12" s="503" t="str">
        <f>IF(ISNUMBER(Datos!EN12),Datos!EN12," - ")</f>
        <v xml:space="preserve"> - </v>
      </c>
      <c r="AK12" s="503"/>
      <c r="AL12" s="504"/>
      <c r="AM12" s="671">
        <f>IF(ISNUMBER(Datos!R12),Datos!R12," - ")</f>
        <v>4890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200</v>
      </c>
      <c r="BD12" s="619">
        <f>IF(ISNUMBER(Datos!N12),Datos!N12," - ")</f>
        <v>488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1.2304964539007093</v>
      </c>
      <c r="BH12" s="669">
        <f>IF(ISNUMBER(((IF(J_V="SI",Datos!L12/Datos!K12,(Datos!L12+Datos!AB12)/(Datos!K12+Datos!AA12)))*11)/factor_trimestre),((IF(J_V="SI",Datos!L12/Datos!K12,(Datos!L12+Datos!AB12)/(Datos!K12+Datos!AA12)))*11)/factor_trimestre," - ")</f>
        <v>4.0187319884726227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-6.7032297379646553E-3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22</v>
      </c>
      <c r="G13" s="1044">
        <f t="shared" si="0"/>
        <v>22</v>
      </c>
      <c r="H13" s="1045">
        <f t="shared" si="0"/>
        <v>0</v>
      </c>
      <c r="I13" s="1044">
        <f t="shared" si="0"/>
        <v>0</v>
      </c>
      <c r="J13" s="1013">
        <f t="shared" si="0"/>
        <v>0</v>
      </c>
      <c r="K13" s="1013">
        <f t="shared" si="0"/>
        <v>0</v>
      </c>
      <c r="L13" s="1045">
        <f t="shared" si="0"/>
        <v>0</v>
      </c>
      <c r="M13" s="1045">
        <f t="shared" si="0"/>
        <v>0</v>
      </c>
      <c r="N13" s="1045">
        <f t="shared" si="0"/>
        <v>95</v>
      </c>
      <c r="O13" s="1046">
        <f t="shared" si="0"/>
        <v>0</v>
      </c>
      <c r="P13" s="1046">
        <f t="shared" si="0"/>
        <v>0</v>
      </c>
      <c r="Q13" s="1045">
        <f t="shared" si="0"/>
        <v>282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15</v>
      </c>
      <c r="AC13" s="1045">
        <f t="shared" si="1"/>
        <v>315</v>
      </c>
      <c r="AD13" s="1045">
        <f t="shared" si="1"/>
        <v>0</v>
      </c>
      <c r="AE13" s="1045">
        <f t="shared" si="1"/>
        <v>0</v>
      </c>
      <c r="AF13" s="1045">
        <f t="shared" si="1"/>
        <v>7</v>
      </c>
      <c r="AG13" s="1045">
        <f t="shared" si="1"/>
        <v>0</v>
      </c>
      <c r="AH13" s="1045">
        <f t="shared" si="1"/>
        <v>129</v>
      </c>
      <c r="AI13" s="1045">
        <f t="shared" si="1"/>
        <v>0</v>
      </c>
      <c r="AJ13" s="1045">
        <f t="shared" si="1"/>
        <v>0</v>
      </c>
      <c r="AK13" s="1045">
        <f t="shared" si="1"/>
        <v>0</v>
      </c>
      <c r="AL13" s="1045">
        <f t="shared" si="1"/>
        <v>0</v>
      </c>
      <c r="AM13" s="1045">
        <f t="shared" si="1"/>
        <v>4900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200</v>
      </c>
      <c r="BD13" s="1045">
        <f t="shared" si="1"/>
        <v>488</v>
      </c>
      <c r="BE13" s="1045">
        <f t="shared" si="1"/>
        <v>0</v>
      </c>
      <c r="BF13" s="1045">
        <f t="shared" si="1"/>
        <v>0</v>
      </c>
      <c r="BG13" s="1045">
        <f>IF(ISNUMBER(Datos!K13/Datos!J13),Datos!K13/Datos!J13," - ")</f>
        <v>1.2710551790900291</v>
      </c>
      <c r="BH13" s="1049">
        <f>IF(ISNUMBER(((Datos!L13/Datos!K13)*11)/factor_trimestre),((Datos!L13/Datos!K13)*11)/factor_trimestre," - ")</f>
        <v>4.0624523990860624</v>
      </c>
      <c r="BI13" s="1045">
        <f>IF(ISNUMBER('Resol  Asuntos'!D13/NºAsuntos!G13),'Resol  Asuntos'!D13/NºAsuntos!G13," - ")</f>
        <v>0.14255167498218105</v>
      </c>
      <c r="BJ13" s="1045" t="str">
        <f>IF(ISNUMBER(Datos!CI13/Datos!CJ13),Datos!CI13/Datos!CJ13," - ")</f>
        <v xml:space="preserve"> - </v>
      </c>
      <c r="BK13" s="1045">
        <f>SUBTOTAL(9,BK8:BK12)</f>
        <v>0</v>
      </c>
      <c r="BL13" s="1045">
        <f>IF(ISNUMBER((I13-AB13+L13)/(F13)),(I13-AB13+L13)/(F13)," - ")</f>
        <v>-0.68181818181818177</v>
      </c>
      <c r="BM13" s="1050">
        <f>SUBTOTAL(9,BM9:BM12)</f>
        <v>-6.7032297379646553E-3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1434</v>
      </c>
      <c r="G16" s="650">
        <f>IF(ISNUMBER(IF(D_I="SI",Datos!I16,Datos!I16+Datos!AC16)),IF(D_I="SI",Datos!I16,Datos!I16+Datos!AC16)," - ")</f>
        <v>1434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910</v>
      </c>
      <c r="AC16" s="230">
        <f>IF(ISNUMBER(Datos!Q16),Datos!Q16," - ")</f>
        <v>59</v>
      </c>
      <c r="AD16" s="343"/>
      <c r="AE16" s="515"/>
      <c r="AF16" s="648">
        <f>IF(ISNUMBER(IF(D_I="SI",Datos!L16,Datos!L16+Datos!AF16)),IF(D_I="SI",Datos!L16,Datos!L16+Datos!AF16)," - ")</f>
        <v>1338</v>
      </c>
      <c r="AG16" s="343"/>
      <c r="AH16" s="343"/>
      <c r="AI16" s="343"/>
      <c r="AJ16" s="503"/>
      <c r="AK16" s="343"/>
      <c r="AL16" s="499"/>
      <c r="AM16" s="344">
        <f>IF(ISNUMBER(Datos!R16),Datos!R16," - ")</f>
        <v>193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136</v>
      </c>
      <c r="BD16" s="233">
        <f>IF(ISNUMBER(Datos!N16),Datos!N16," - ")</f>
        <v>539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1.117936117936118</v>
      </c>
      <c r="BH16" s="669">
        <f>IF(ISNUMBER(((IF(D_I="SI",Datos!L16/Datos!K16,(Datos!L16+Datos!AF16)/(Datos!K16+Datos!AE16)))*11)/factor_trimestre),((IF(D_I="SI",Datos!L16/Datos!K16,(Datos!L16+Datos!AF16)/(Datos!K16+Datos!AE16)))*11)/factor_trimestre," - ")</f>
        <v>2.9406593406593413</v>
      </c>
      <c r="BI16" s="247">
        <f>IF(ISNUMBER('Resol  Asuntos'!D16/NºAsuntos!G16),'Resol  Asuntos'!D16/NºAsuntos!G16," - ")</f>
        <v>0.14945054945054945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25</v>
      </c>
      <c r="AC17" s="501">
        <f>IF(ISNUMBER(Datos!Q17),Datos!Q17," - ")</f>
        <v>0</v>
      </c>
      <c r="AD17" s="503"/>
      <c r="AE17" s="515"/>
      <c r="AF17" s="505">
        <f>IF(ISNUMBER(Datos!L17),Datos!L17,"-")</f>
        <v>38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12</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f>IF(ISNUMBER(((IF(D_I="SI",Datos!L17/Datos!K17,(Datos!L17+Datos!AF17)/(Datos!K17+Datos!AE17)))*11)/factor_trimestre),((IF(D_I="SI",Datos!L17/Datos!K17,(Datos!L17+Datos!AF17)/(Datos!K17+Datos!AE17)))*11)/factor_trimestre," - ")</f>
        <v>3.0399999999999996</v>
      </c>
      <c r="BI17" s="668">
        <f>IF(ISNUMBER('Resol  Asuntos'!D17/NºAsuntos!G17),'Resol  Asuntos'!D17/NºAsuntos!G17," - ")</f>
        <v>0.16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1434</v>
      </c>
      <c r="G18" s="1044">
        <f>SUBTOTAL(9,G15:G17)</f>
        <v>1497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935</v>
      </c>
      <c r="AC18" s="1045">
        <f t="shared" si="4"/>
        <v>59</v>
      </c>
      <c r="AD18" s="1045">
        <f t="shared" si="4"/>
        <v>0</v>
      </c>
      <c r="AE18" s="1045">
        <f t="shared" si="4"/>
        <v>0</v>
      </c>
      <c r="AF18" s="1045">
        <f t="shared" si="4"/>
        <v>1376</v>
      </c>
      <c r="AG18" s="1045">
        <f t="shared" si="4"/>
        <v>0</v>
      </c>
      <c r="AH18" s="1045">
        <f t="shared" si="4"/>
        <v>0</v>
      </c>
      <c r="AI18" s="1045">
        <f t="shared" si="4"/>
        <v>0</v>
      </c>
      <c r="AJ18" s="1045">
        <f t="shared" si="4"/>
        <v>0</v>
      </c>
      <c r="AK18" s="1045">
        <f t="shared" si="4"/>
        <v>0</v>
      </c>
      <c r="AL18" s="1045">
        <f t="shared" si="4"/>
        <v>0</v>
      </c>
      <c r="AM18" s="1045">
        <f t="shared" si="4"/>
        <v>193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140</v>
      </c>
      <c r="BD18" s="1045">
        <f t="shared" si="4"/>
        <v>551</v>
      </c>
      <c r="BE18" s="1045">
        <f t="shared" si="4"/>
        <v>0</v>
      </c>
      <c r="BF18" s="1045">
        <f t="shared" si="4"/>
        <v>0</v>
      </c>
      <c r="BG18" s="1045">
        <f>IF(ISNUMBER(Datos!K18/Datos!J18),Datos!K18/Datos!J18," - ")</f>
        <v>1.1486486486486487</v>
      </c>
      <c r="BH18" s="1049">
        <f>IF(ISNUMBER(((Datos!L18/Datos!K18)*11)/factor_trimestre),((Datos!L18/Datos!K18)*11)/factor_trimestre," - ")</f>
        <v>2.9433155080213904</v>
      </c>
      <c r="BI18" s="1045">
        <f>SUBTOTAL(9,BI15:BI17)</f>
        <v>0.30945054945054945</v>
      </c>
      <c r="BJ18" s="1045">
        <f>SUBTOTAL(9,BJ15:BJ17)</f>
        <v>0</v>
      </c>
      <c r="BK18" s="1045">
        <f>SUBTOTAL(9,BK15:BK17)</f>
        <v>0</v>
      </c>
      <c r="BL18" s="1045">
        <f>IF(ISNUMBER((I18-AB18+L18)/(F18)),(I18-AB18+L18)/(F18)," - ")</f>
        <v>-0.65202231520223153</v>
      </c>
      <c r="BM18" s="1051">
        <f>IF(ISNUMBER((Datos!P18-Datos!Q18)/(Datos!R18-Datos!P18+Datos!Q18)),(Datos!P18-Datos!Q18)/(Datos!R18-Datos!P18+Datos!Q18)," - ")</f>
        <v>-3.9800995024875621E-2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1456</v>
      </c>
      <c r="G19" s="966">
        <f t="shared" si="6"/>
        <v>1519</v>
      </c>
      <c r="H19" s="968">
        <f t="shared" si="6"/>
        <v>0</v>
      </c>
      <c r="I19" s="966">
        <f t="shared" si="6"/>
        <v>0</v>
      </c>
      <c r="J19" s="968">
        <f t="shared" si="6"/>
        <v>0</v>
      </c>
      <c r="K19" s="968">
        <f t="shared" si="6"/>
        <v>0</v>
      </c>
      <c r="L19" s="1027">
        <f t="shared" si="6"/>
        <v>0</v>
      </c>
      <c r="M19" s="1027">
        <f t="shared" si="6"/>
        <v>0</v>
      </c>
      <c r="N19" s="1027">
        <f t="shared" si="6"/>
        <v>95</v>
      </c>
      <c r="O19" s="1027">
        <f t="shared" si="6"/>
        <v>0</v>
      </c>
      <c r="P19" s="1027">
        <f t="shared" si="6"/>
        <v>0</v>
      </c>
      <c r="Q19" s="968">
        <f t="shared" si="6"/>
        <v>333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950</v>
      </c>
      <c r="AC19" s="967">
        <f t="shared" si="7"/>
        <v>374</v>
      </c>
      <c r="AD19" s="967">
        <f t="shared" si="7"/>
        <v>0</v>
      </c>
      <c r="AE19" s="967">
        <f t="shared" si="7"/>
        <v>0</v>
      </c>
      <c r="AF19" s="974">
        <f t="shared" si="7"/>
        <v>1383</v>
      </c>
      <c r="AG19" s="974">
        <f t="shared" si="7"/>
        <v>0</v>
      </c>
      <c r="AH19" s="974">
        <f t="shared" si="7"/>
        <v>129</v>
      </c>
      <c r="AI19" s="974">
        <f t="shared" si="7"/>
        <v>0</v>
      </c>
      <c r="AJ19" s="967">
        <f t="shared" si="7"/>
        <v>0</v>
      </c>
      <c r="AK19" s="974">
        <f t="shared" si="7"/>
        <v>0</v>
      </c>
      <c r="AL19" s="974">
        <f t="shared" si="7"/>
        <v>0</v>
      </c>
      <c r="AM19" s="974">
        <f t="shared" si="7"/>
        <v>5093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340</v>
      </c>
      <c r="BD19" s="966">
        <f t="shared" si="7"/>
        <v>1039</v>
      </c>
      <c r="BE19" s="966">
        <f t="shared" si="7"/>
        <v>0</v>
      </c>
      <c r="BF19" s="976">
        <f t="shared" si="7"/>
        <v>0</v>
      </c>
      <c r="BG19" s="1061">
        <f>IF(ISNUMBER(Datos!K19/Datos!J19),Datos!K19/Datos!J19," - ")</f>
        <v>1.2171088251218192</v>
      </c>
      <c r="BH19" s="1061">
        <f>IF(ISNUMBER(((Datos!L19/Datos!K19)*11)/factor_trimestre),((Datos!L19/Datos!K19)*11)/factor_trimestre," - ")</f>
        <v>3.5969750889679717</v>
      </c>
      <c r="BI19" s="959">
        <f>IF(ISNUMBER(Datos!J19/Datos!I19),Datos!J19/Datos!I19," - ")</f>
        <v>0.41561656165616562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-0.65247252747252749</v>
      </c>
      <c r="BM19" s="1035">
        <f>IF(ISNUMBER((Datos!P19-Datos!Q19+R19)/(Datos!R19-Datos!P19+Datos!Q19-R19)),(Datos!P19-Datos!Q19+R19)/(Datos!R19-Datos!P19+Datos!Q19-R19)," - ")</f>
        <v>-7.9859758472925601E-3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607.6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815.21858009575158</v>
      </c>
      <c r="G21" s="600">
        <f>IF(ISNUMBER(STDEV(G8:G18)),STDEV(G8:G18),"-")</f>
        <v>783.64743348013337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495.32817404222021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90.603899842482861</v>
      </c>
      <c r="BD21" s="599"/>
      <c r="BE21" s="599">
        <f>IF(ISNUMBER(STDEV(BE8:BE18)),STDEV(BE8:BE18),"-")</f>
        <v>0</v>
      </c>
      <c r="BF21" s="604">
        <f>IF(ISNUMBER(STDEV(BF8:BF18)),STDEV(BF8:BF18),"-")</f>
        <v>0</v>
      </c>
      <c r="BG21" s="914">
        <f>IF(ISNUMBER(STDEV(BG8:BG18)),STDEV(BG8:BG18),"-")</f>
        <v>7.0937747222561007E-2</v>
      </c>
      <c r="BH21" s="918">
        <f>IF(ISNUMBER(STDEV(BH8:BH18)),STDEV(BH8:BH18),"-")</f>
        <v>1.1353796716447855</v>
      </c>
      <c r="BI21" s="253">
        <f>IF(ISNUMBER(STDEV(BI8:BI18)),STDEV(BI8:BI18),"-")</f>
        <v>7.9715133680098915E-2</v>
      </c>
      <c r="BJ21" s="234" t="str">
        <f>IF(ISNUMBER(BL21/BM21),BL21/BM21," - ")</f>
        <v xml:space="preserve"> - </v>
      </c>
      <c r="BK21" s="626"/>
      <c r="BL21" s="607">
        <f>IF(ISNUMBER(STDEV(BL8:BL18)),STDEV(BL8:BL18),"-")</f>
        <v>2.1068859335468284E-2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qOnYe44lMWYsJCPZ0rj6kAI+oPKl8+6QIOm1QOA2HOX4A36soVZNFDIq0rLoZD509v6STe/jmrcAKv6WyD+2kg==" saltValue="oVIe81cSJawmc9c2suUo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CATARROJA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22</v>
      </c>
      <c r="G10" s="506">
        <f>IF(ISNUMBER(Datos!I10),Datos!I10," - ")</f>
        <v>22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15</v>
      </c>
      <c r="Z10" s="703">
        <f>IF(ISNUMBER(Datos!Q10),Datos!Q10," - ")</f>
        <v>0</v>
      </c>
      <c r="AA10" s="505">
        <f>IF(ISNUMBER(Datos!L10),Datos!L10,"-")</f>
        <v>7</v>
      </c>
      <c r="AB10" s="503"/>
      <c r="AC10" s="503"/>
      <c r="AD10" s="516"/>
      <c r="AE10" s="516">
        <f>IF(ISNUMBER(Datos!R10),Datos!R10," - ")</f>
        <v>10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0.93333333333333346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315</v>
      </c>
      <c r="AA12" s="505" t="str">
        <f>IF(ISNUMBER(IF(J_V="SI",Datos!L12,Datos!L12+Datos!AB12)-IF(Monitorios="SI",Datos!CD12,0)),
                          IF(J_V="SI",Datos!L12,Datos!L12+Datos!AB12)-IF(Monitorios="SI",Datos!CD12,0),
                          " - ")</f>
        <v xml:space="preserve"> - </v>
      </c>
      <c r="AB12" s="503"/>
      <c r="AC12" s="503"/>
      <c r="AD12" s="516"/>
      <c r="AE12" s="516">
        <f>IF(ISNUMBER(Datos!R12),Datos!R12," - ")</f>
        <v>4890</v>
      </c>
      <c r="AF12" s="619" t="str">
        <f>IF(ISNUMBER(Datos!BV12),Datos!BV12," - ")</f>
        <v xml:space="preserve"> - </v>
      </c>
      <c r="AG12" s="506" t="str">
        <f>IF(ISNUMBER(Datos!DV12),Datos!DV12," - ")</f>
        <v xml:space="preserve"> - </v>
      </c>
      <c r="AH12" s="507"/>
      <c r="AI12" s="508"/>
      <c r="AJ12" s="506">
        <f>IF(ISNUMBER(Datos!M12),Datos!M12," - ")</f>
        <v>200</v>
      </c>
      <c r="AK12" s="619">
        <f>IF(ISNUMBER(Datos!N12),Datos!N12," - ")</f>
        <v>488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4.0187319884726227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-6.7032297379646553E-3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22</v>
      </c>
      <c r="G13" s="1044">
        <f>SUBTOTAL(9,G8:G12)</f>
        <v>22</v>
      </c>
      <c r="H13" s="1054"/>
      <c r="I13" s="1044">
        <f t="shared" ref="I13:N13" si="0">SUBTOTAL(9,I8:I12)</f>
        <v>0</v>
      </c>
      <c r="J13" s="1013">
        <f t="shared" si="0"/>
        <v>0</v>
      </c>
      <c r="K13" s="1054">
        <f t="shared" si="0"/>
        <v>0</v>
      </c>
      <c r="L13" s="1054">
        <f t="shared" si="0"/>
        <v>0</v>
      </c>
      <c r="M13" s="1054">
        <f t="shared" si="0"/>
        <v>0</v>
      </c>
      <c r="N13" s="1054">
        <f t="shared" si="0"/>
        <v>282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15</v>
      </c>
      <c r="Z13" s="1053">
        <f t="shared" si="2"/>
        <v>315</v>
      </c>
      <c r="AA13" s="1046">
        <f t="shared" si="2"/>
        <v>7</v>
      </c>
      <c r="AB13" s="1046">
        <f t="shared" si="2"/>
        <v>0</v>
      </c>
      <c r="AC13" s="1046">
        <f t="shared" si="2"/>
        <v>0</v>
      </c>
      <c r="AD13" s="1046">
        <f t="shared" si="2"/>
        <v>0</v>
      </c>
      <c r="AE13" s="1046">
        <f t="shared" si="2"/>
        <v>4900</v>
      </c>
      <c r="AF13" s="1054">
        <f t="shared" si="2"/>
        <v>0</v>
      </c>
      <c r="AG13" s="1054">
        <f t="shared" si="2"/>
        <v>0</v>
      </c>
      <c r="AH13" s="1054">
        <f t="shared" si="2"/>
        <v>0</v>
      </c>
      <c r="AI13" s="1054">
        <f t="shared" si="2"/>
        <v>0</v>
      </c>
      <c r="AJ13" s="1054">
        <f t="shared" si="2"/>
        <v>200</v>
      </c>
      <c r="AK13" s="1054">
        <f t="shared" si="2"/>
        <v>488</v>
      </c>
      <c r="AL13" s="1054">
        <f t="shared" si="2"/>
        <v>0</v>
      </c>
      <c r="AM13" s="1054">
        <f t="shared" si="2"/>
        <v>0</v>
      </c>
      <c r="AN13" s="1054">
        <f t="shared" si="2"/>
        <v>0</v>
      </c>
      <c r="AO13" s="1050">
        <f>IF(ISNUMBER(((NºAsuntos!I13/NºAsuntos!G13)*11)/factor_trimestre),((NºAsuntos!I13/NºAsuntos!G13)*11)/factor_trimestre," - ")</f>
        <v>3.9857448325017817</v>
      </c>
      <c r="AP13" s="1056" t="str">
        <f>IF(ISNUMBER(Datos!CI13/Datos!CJ13),Datos!CI13/Datos!CJ13," - ")</f>
        <v xml:space="preserve"> - </v>
      </c>
      <c r="AQ13" s="1074">
        <f t="shared" ref="AQ13:AV13" si="3">SUBTOTAL(9,AQ9:AQ12)</f>
        <v>0</v>
      </c>
      <c r="AR13" s="1074">
        <f t="shared" si="3"/>
        <v>-6.7032297379646553E-3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1434</v>
      </c>
      <c r="G16" s="506">
        <f>IF(ISNUMBER(IF(D_I="SI",Datos!I16,Datos!I16+Datos!AC16)),IF(D_I="SI",Datos!I16,Datos!I16+Datos!AC16)," - ")</f>
        <v>1434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910</v>
      </c>
      <c r="Z16" s="703">
        <f>IF(ISNUMBER(Datos!Q16),Datos!Q16," - ")</f>
        <v>59</v>
      </c>
      <c r="AA16" s="505">
        <f>IF(ISNUMBER(IF(D_I="SI",Datos!L16,Datos!L16+Datos!AF16)),IF(D_I="SI",Datos!L16,Datos!L16+Datos!AF16)," - ")</f>
        <v>1338</v>
      </c>
      <c r="AB16" s="503"/>
      <c r="AC16" s="503"/>
      <c r="AD16" s="516"/>
      <c r="AE16" s="516">
        <f>IF(ISNUMBER(Datos!R16),Datos!R16," - ")</f>
        <v>193</v>
      </c>
      <c r="AF16" s="619" t="str">
        <f>IF(ISNUMBER(Datos!BV16),Datos!BV16," - ")</f>
        <v xml:space="preserve"> - </v>
      </c>
      <c r="AG16" s="506"/>
      <c r="AH16" s="507"/>
      <c r="AI16" s="508"/>
      <c r="AJ16" s="506">
        <f>IF(ISNUMBER(Datos!M16),Datos!M16," - ")</f>
        <v>136</v>
      </c>
      <c r="AK16" s="619">
        <f>IF(ISNUMBER(Datos!N16),Datos!N16," - ")</f>
        <v>539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2.9406593406593413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25</v>
      </c>
      <c r="Z17" s="703">
        <f>IF(ISNUMBER(Datos!Q17),Datos!Q17," - ")</f>
        <v>0</v>
      </c>
      <c r="AA17" s="505">
        <f>IF(ISNUMBER(Datos!L17),Datos!L17,"-")</f>
        <v>38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4</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3.0399999999999996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1434</v>
      </c>
      <c r="G18" s="1044">
        <f>SUBTOTAL(9,G15:G17)</f>
        <v>1497</v>
      </c>
      <c r="H18" s="1078">
        <f>SUBTOTAL(9,H15:H17)</f>
        <v>0</v>
      </c>
      <c r="I18" s="1057">
        <f>SUBTOTAL(9,I15:I17)</f>
        <v>0</v>
      </c>
      <c r="J18" s="1013">
        <f>SUBTOTAL(9,J14:J17)</f>
        <v>0</v>
      </c>
      <c r="K18" s="1078">
        <f t="shared" ref="K18:S18" si="4">SUBTOTAL(9,K15:K17)</f>
        <v>0</v>
      </c>
      <c r="L18" s="1078">
        <f t="shared" si="4"/>
        <v>0</v>
      </c>
      <c r="M18" s="1078">
        <f t="shared" si="4"/>
        <v>0</v>
      </c>
      <c r="N18" s="1078">
        <f t="shared" si="4"/>
        <v>51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935</v>
      </c>
      <c r="Z18" s="1078">
        <f t="shared" si="5"/>
        <v>59</v>
      </c>
      <c r="AA18" s="1078">
        <f t="shared" si="5"/>
        <v>1376</v>
      </c>
      <c r="AB18" s="1078">
        <f t="shared" si="5"/>
        <v>0</v>
      </c>
      <c r="AC18" s="1078">
        <f t="shared" si="5"/>
        <v>0</v>
      </c>
      <c r="AD18" s="1078">
        <f t="shared" si="5"/>
        <v>0</v>
      </c>
      <c r="AE18" s="1078">
        <f t="shared" si="5"/>
        <v>193</v>
      </c>
      <c r="AF18" s="1078">
        <f t="shared" si="5"/>
        <v>0</v>
      </c>
      <c r="AG18" s="1078">
        <f t="shared" si="5"/>
        <v>0</v>
      </c>
      <c r="AH18" s="1078">
        <f t="shared" si="5"/>
        <v>0</v>
      </c>
      <c r="AI18" s="1078">
        <f t="shared" si="5"/>
        <v>0</v>
      </c>
      <c r="AJ18" s="1078">
        <f t="shared" si="5"/>
        <v>140</v>
      </c>
      <c r="AK18" s="1078">
        <f t="shared" si="5"/>
        <v>551</v>
      </c>
      <c r="AL18" s="1078">
        <f t="shared" si="5"/>
        <v>0</v>
      </c>
      <c r="AM18" s="1078">
        <f t="shared" si="5"/>
        <v>0</v>
      </c>
      <c r="AN18" s="1078">
        <f t="shared" si="5"/>
        <v>0</v>
      </c>
      <c r="AO18" s="1080">
        <f>IF(ISNUMBER(((NºAsuntos!I18/NºAsuntos!G18)*11)/factor_trimestre),((NºAsuntos!I18/NºAsuntos!G18)*11)/factor_trimestre," - ")</f>
        <v>2.9433155080213904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1456</v>
      </c>
      <c r="G19" s="966">
        <f t="shared" si="7"/>
        <v>1519</v>
      </c>
      <c r="H19" s="967">
        <f t="shared" si="7"/>
        <v>0</v>
      </c>
      <c r="I19" s="966">
        <f t="shared" si="7"/>
        <v>0</v>
      </c>
      <c r="J19" s="968">
        <f t="shared" si="7"/>
        <v>0</v>
      </c>
      <c r="K19" s="966">
        <f t="shared" si="7"/>
        <v>0</v>
      </c>
      <c r="L19" s="969">
        <f t="shared" si="7"/>
        <v>0</v>
      </c>
      <c r="M19" s="966">
        <f t="shared" si="7"/>
        <v>0</v>
      </c>
      <c r="N19" s="967">
        <f t="shared" si="7"/>
        <v>333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950</v>
      </c>
      <c r="Z19" s="973">
        <f t="shared" si="8"/>
        <v>374</v>
      </c>
      <c r="AA19" s="974">
        <f t="shared" si="8"/>
        <v>1383</v>
      </c>
      <c r="AB19" s="974">
        <f t="shared" si="8"/>
        <v>0</v>
      </c>
      <c r="AC19" s="974">
        <f t="shared" si="8"/>
        <v>0</v>
      </c>
      <c r="AD19" s="975">
        <f t="shared" si="8"/>
        <v>0</v>
      </c>
      <c r="AE19" s="975">
        <f t="shared" si="8"/>
        <v>5093</v>
      </c>
      <c r="AF19" s="976">
        <f t="shared" si="8"/>
        <v>0</v>
      </c>
      <c r="AG19" s="977">
        <f t="shared" si="8"/>
        <v>0</v>
      </c>
      <c r="AH19" s="978">
        <f t="shared" si="8"/>
        <v>0</v>
      </c>
      <c r="AI19" s="976">
        <f t="shared" si="8"/>
        <v>0</v>
      </c>
      <c r="AJ19" s="966">
        <f t="shared" si="8"/>
        <v>340</v>
      </c>
      <c r="AK19" s="966">
        <f t="shared" si="8"/>
        <v>1039</v>
      </c>
      <c r="AL19" s="966">
        <f t="shared" si="8"/>
        <v>0</v>
      </c>
      <c r="AM19" s="979">
        <f t="shared" si="8"/>
        <v>0</v>
      </c>
      <c r="AN19" s="969">
        <f>IF(ISNUMBER(Datos!K19/Datos!J19),Datos!K19/Datos!J19," - ")</f>
        <v>1.2171088251218192</v>
      </c>
      <c r="AO19" s="969">
        <f>IF(ISNUMBER(FIND("06",Criterios!A8,1)),(IF(ISNUMBER(((Datos!R19/Datos!Q19)*11)/factor_trimestre),((Datos!R19/Datos!Q19)*11)/factor_trimestre," - ")),(IF(ISNUMBER(((Datos!L19/Datos!K19)*11)/factor_trimestre),((Datos!L19/Datos!K19)*11)/factor_trimestre," - ")))</f>
        <v>3.5969750889679717</v>
      </c>
      <c r="AP19" s="980" t="str">
        <f>IF(ISNUMBER(Datos!CI19/Datos!CJ19),Datos!CI19/Datos!CJ19," - ")</f>
        <v xml:space="preserve"> - </v>
      </c>
      <c r="AQ19" s="980">
        <f>IF(OR(ISNUMBER(FIND("01",Criterios!A8,1)),ISNUMBER(FIND("02",Criterios!A8,1)),ISNUMBER(FIND("03",Criterios!A8,1)),ISNUMBER(FIND("04",Criterios!A8,1))),(J19-Y19+K19)/(F19-K19),(I19-Y19+K19)/(F19-K19))</f>
        <v>-0.65247252747252749</v>
      </c>
      <c r="AR19" s="980">
        <f>IF(ISNUMBER((Datos!P19-Datos!Q19+O19)/(Datos!R19-Datos!P19+Datos!Q19-O19)),(Datos!P19-Datos!Q19+O19)/(Datos!R19-Datos!P19+Datos!Q19-O19)," - ")</f>
        <v>-7.9859758472925601E-3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607.6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815.21858009575158</v>
      </c>
      <c r="G21" s="600">
        <f>IF(ISNUMBER(STDEV(G8:G18)),STDEV(G8:G18),"-")</f>
        <v>783.64743348013337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90.603899842482861</v>
      </c>
      <c r="AK21" s="256"/>
      <c r="AL21" s="256">
        <f>IF(ISNUMBER(STDEV(AL8:AL18)),STDEV(AL8:AL18),"-")</f>
        <v>0</v>
      </c>
      <c r="AM21" s="258">
        <f>IF(ISNUMBER(STDEV(AM8:AM18)),STDEV(AM8:AM18),"-")</f>
        <v>0</v>
      </c>
      <c r="AN21" s="586">
        <f>IF(ISNUMBER(STDEV(AN8:AN18)),STDEV(AN8:AN18),"-")</f>
        <v>0</v>
      </c>
      <c r="AO21" s="587">
        <f>IF(ISNUMBER(STDEV(AO8:AO18)),STDEV(AO8:AO18),"-")</f>
        <v>1.1212287365357558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mUbI2UVEslMJY4ziXiTtnQHlYRMTznPjCE6gg3eFQsQFpLG6zWuo/D+7ImrlRI8m+uPnO8+MwMqw1mHPapNNQ==" saltValue="96k8zQrQDjqP+ay3soSW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9bn0MuQD6ymLYJdx1tKyDkRlSAB5wTOwfLDUiX1jlRjH3b0TbUM3iLetS1eATmw2eCD5HI/qoPMtfxjKCFIeGA==" saltValue="XCDfJBX9OG5iILFBb0tb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SLW26kPKDbdE3LrSsl4EhbXJh14nf3RdOu/rhnPEn7QLqmf6sCTjvCl0QWEqWkS4ulLJE0hEzDckzoulnfXmw==" saltValue="CR45DeyDKHN81LVWOoVVJ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CATARROJA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0.14255167498218105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0.10079925604940093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4AEmW7PDQ4uWkK910aUP9l4tfIVltKmgdc7VVlgOMXsA6mMOAdBAfh4Hioq2gKx2Sskws55xw9hM+UB10zwCg==" saltValue="luvxFrppg4j+QyGUIj1w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iUkyDHFTRuwLMUKGXjxFM7JTwYU7G+boFw8sFAzKaJd62xefk3qLEQgK/1312/Jv0uMg+vkeR5TuWapBmetGg==" saltValue="/yrZ4dbNg0WqgvYkzfE9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CATARROJA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22</v>
      </c>
      <c r="D10" s="415">
        <f>IF(ISNUMBER(C10/Datos!BH10),C10/Datos!BH10," - ")</f>
        <v>22</v>
      </c>
      <c r="E10" s="414">
        <f>IF(ISNUMBER(Datos!J10),Datos!J10," - ")</f>
        <v>0</v>
      </c>
      <c r="F10" s="415">
        <f>IF(ISNUMBER(E10/B10),E10/B10," - ")</f>
        <v>0</v>
      </c>
      <c r="G10" s="414">
        <f>IF(ISNUMBER(Datos!K10),Datos!K10," - ")</f>
        <v>15</v>
      </c>
      <c r="H10" s="415">
        <f>IF(ISNUMBER(G10/B10),G10/B10," - ")</f>
        <v>15</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3049</v>
      </c>
      <c r="D12" s="415">
        <f>IF(ISNUMBER(C12/Datos!BH12),C12/Datos!BH12," - ")</f>
        <v>609.79999999999995</v>
      </c>
      <c r="E12" s="414">
        <f>IF(ISNUMBER(IF(J_V="SI",Datos!J12,Datos!J12+Datos!Z12)),IF(J_V="SI",Datos!J12,Datos!J12+Datos!Z12)," - ")</f>
        <v>1128</v>
      </c>
      <c r="F12" s="415">
        <f>IF(ISNUMBER(E12/B12),E12/B12," - ")</f>
        <v>225.6</v>
      </c>
      <c r="G12" s="414">
        <f>IF(ISNUMBER(IF(J_V="SI",Datos!K12,Datos!K12+Datos!AA12)),IF(J_V="SI",Datos!K12,Datos!K12+Datos!AA12)," - ")</f>
        <v>1388</v>
      </c>
      <c r="H12" s="415">
        <f>IF(ISNUMBER(G12/B12),G12/B12," - ")</f>
        <v>277.60000000000002</v>
      </c>
      <c r="I12" s="414">
        <f>IF(ISNUMBER(IF(J_V="SI",Datos!L12,Datos!L12+Datos!AB12)),IF(J_V="SI",Datos!L12,Datos!L12+Datos!AB12)," - ")</f>
        <v>2789</v>
      </c>
      <c r="J12" s="415">
        <f>IF(ISNUMBER(I12/B12),I12/B12," - ")</f>
        <v>557.79999999999995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3071</v>
      </c>
      <c r="D13" s="996" t="str">
        <f>IF(ISNUMBER(C13/Datos!BI13),C13/Datos!BI13," - ")</f>
        <v xml:space="preserve"> - </v>
      </c>
      <c r="E13" s="995">
        <f>SUBTOTAL(9,E8:E12)</f>
        <v>1128</v>
      </c>
      <c r="F13" s="996">
        <f>IF(ISNUMBER(E13/B13),E13/B13," - ")</f>
        <v>225.6</v>
      </c>
      <c r="G13" s="995">
        <f>SUBTOTAL(9,G8:G12)</f>
        <v>1403</v>
      </c>
      <c r="H13" s="996">
        <f>IF(ISNUMBER(G13/B13),G13/B13," - ")</f>
        <v>280.60000000000002</v>
      </c>
      <c r="I13" s="995">
        <f>SUBTOTAL(9,I8:I12)</f>
        <v>2796</v>
      </c>
      <c r="J13" s="996">
        <f>IF(ISNUMBER(I13/B13),I13/B13," - ")</f>
        <v>559.20000000000005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1434</v>
      </c>
      <c r="D16" s="415">
        <f>IF(ISNUMBER(C16/Datos!BH16),C16/Datos!BH16," - ")</f>
        <v>286.8</v>
      </c>
      <c r="E16" s="414">
        <f>IF(ISNUMBER(IF(D_I="SI",Datos!J16,Datos!J16+Datos!AD16)),IF(D_I="SI",Datos!J16,Datos!J16+Datos!AD16)," - ")</f>
        <v>814</v>
      </c>
      <c r="F16" s="415">
        <f>IF(ISNUMBER(E16/B16),E16/B16," - ")</f>
        <v>162.80000000000001</v>
      </c>
      <c r="G16" s="414">
        <f>IF(ISNUMBER(IF(D_I="SI",Datos!K16,Datos!K16+Datos!AE16)),IF(D_I="SI",Datos!K16,Datos!K16+Datos!AE16)," - ")</f>
        <v>910</v>
      </c>
      <c r="H16" s="415">
        <f>IF(ISNUMBER(G16/B16),G16/B16," - ")</f>
        <v>182</v>
      </c>
      <c r="I16" s="414">
        <f>IF(ISNUMBER(IF(D_I="SI",Datos!L16,Datos!L16+Datos!AF16)),IF(D_I="SI",Datos!L16,Datos!L16+Datos!AF16)," - ")</f>
        <v>1338</v>
      </c>
      <c r="J16" s="415">
        <f>IF(ISNUMBER(I16/B16),I16/B16," - ")</f>
        <v>267.60000000000002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63</v>
      </c>
      <c r="D17" s="415">
        <f>IF(ISNUMBER(C17/Datos!BH17),C17/Datos!BH17," - ")</f>
        <v>63</v>
      </c>
      <c r="E17" s="414">
        <f>IF(ISNUMBER(IF(D_I="SI",Datos!J17,Datos!J17+Datos!AD17)),IF(D_I="SI",Datos!J17,Datos!J17+Datos!AD17)," - ")</f>
        <v>0</v>
      </c>
      <c r="F17" s="415">
        <f>IF(ISNUMBER(E17/B17),E17/B17," - ")</f>
        <v>0</v>
      </c>
      <c r="G17" s="414">
        <f>IF(ISNUMBER(IF(D_I="SI",Datos!K17,Datos!K17+Datos!AE17)),IF(D_I="SI",Datos!K17,Datos!K17+Datos!AE17)," - ")</f>
        <v>25</v>
      </c>
      <c r="H17" s="415">
        <f>IF(ISNUMBER(G17/B17),G17/B17," - ")</f>
        <v>25</v>
      </c>
      <c r="I17" s="414">
        <f>IF(ISNUMBER(IF(D_I="SI",Datos!L17,Datos!L17+Datos!AF17)),IF(D_I="SI",Datos!L17,Datos!L17+Datos!AF17)," - ")</f>
        <v>38</v>
      </c>
      <c r="J17" s="415">
        <f>IF(ISNUMBER(I17/B17),I17/B17," - ")</f>
        <v>38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1497</v>
      </c>
      <c r="D18" s="996" t="str">
        <f>IF(ISNUMBER(C18/Datos!BI18),C18/Datos!BI18," - ")</f>
        <v xml:space="preserve"> - </v>
      </c>
      <c r="E18" s="995">
        <f>SUBTOTAL(9,E14:E17)</f>
        <v>814</v>
      </c>
      <c r="F18" s="996">
        <f>IF(ISNUMBER(E18/B18),E18/B18," - ")</f>
        <v>162.80000000000001</v>
      </c>
      <c r="G18" s="995">
        <f>SUBTOTAL(9,G14:G17)</f>
        <v>935</v>
      </c>
      <c r="H18" s="996">
        <f>IF(ISNUMBER(G18/B18),G18/B18," - ")</f>
        <v>187</v>
      </c>
      <c r="I18" s="995">
        <f>SUBTOTAL(9,I14:I17)</f>
        <v>1376</v>
      </c>
      <c r="J18" s="996">
        <f>IF(ISNUMBER(I18/B18),I18/B18," - ")</f>
        <v>275.2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4568</v>
      </c>
      <c r="D19" s="941" t="str">
        <f>IF(ISNUMBER(C19/Datos!BI19),C19/Datos!BI19," - ")</f>
        <v xml:space="preserve"> - </v>
      </c>
      <c r="E19" s="940">
        <f>SUBTOTAL(9,E9:E18)</f>
        <v>1942</v>
      </c>
      <c r="F19" s="941">
        <f>IF(ISNUMBER(E19/B19),E19/B19," - ")</f>
        <v>388.4</v>
      </c>
      <c r="G19" s="940">
        <f>SUBTOTAL(9,G9:G18)</f>
        <v>2338</v>
      </c>
      <c r="H19" s="941">
        <f>IF(ISNUMBER(G19/B19),G19/B19," - ")</f>
        <v>467.6</v>
      </c>
      <c r="I19" s="940">
        <f>SUBTOTAL(9,I9:I18)</f>
        <v>4172</v>
      </c>
      <c r="J19" s="941">
        <f>IF(ISNUMBER(I19/B19),I19/B19," - ")</f>
        <v>834.4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DWqmn3xY63ZHrA2lSIg5m6SC5q+DbpYFyibIhJDhdGFui7fyOhosbPsCBlFfJuOZ/UDomMcS/qz+pbIIb2lmow==" saltValue="A0gY9HwvW0tb/5HtCFWt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CATARROJA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22</v>
      </c>
      <c r="G10" s="802">
        <f>IF(ISNUMBER(Datos!I10),Datos!I10," - ")</f>
        <v>22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15</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0.93333333333333346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315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4890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200</v>
      </c>
      <c r="AM12" s="810">
        <f>IF(ISNUMBER(Datos!N12+DatosP!N16),Datos!N12+DatosP!N16," - ")</f>
        <v>488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4.0187319884726227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-6.7032297379646553E-3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22</v>
      </c>
      <c r="G13" s="1084">
        <f t="shared" si="0"/>
        <v>22</v>
      </c>
      <c r="H13" s="1084">
        <f t="shared" si="0"/>
        <v>0</v>
      </c>
      <c r="I13" s="1086">
        <f t="shared" si="0"/>
        <v>0</v>
      </c>
      <c r="J13" s="1085">
        <f t="shared" si="0"/>
        <v>0</v>
      </c>
      <c r="K13" s="1085">
        <f t="shared" si="0"/>
        <v>0</v>
      </c>
      <c r="L13" s="1087">
        <f t="shared" si="0"/>
        <v>0</v>
      </c>
      <c r="M13" s="1087">
        <f t="shared" si="0"/>
        <v>0</v>
      </c>
      <c r="N13" s="1085">
        <f t="shared" si="0"/>
        <v>282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15</v>
      </c>
      <c r="AC13" s="1085">
        <f t="shared" si="1"/>
        <v>0</v>
      </c>
      <c r="AD13" s="1085">
        <f t="shared" si="1"/>
        <v>315</v>
      </c>
      <c r="AE13" s="1085">
        <f t="shared" si="1"/>
        <v>0</v>
      </c>
      <c r="AF13" s="1085">
        <f t="shared" si="1"/>
        <v>7</v>
      </c>
      <c r="AG13" s="1085">
        <f t="shared" si="1"/>
        <v>0</v>
      </c>
      <c r="AH13" s="1085">
        <f t="shared" si="1"/>
        <v>4890</v>
      </c>
      <c r="AI13" s="1085">
        <f t="shared" si="1"/>
        <v>0</v>
      </c>
      <c r="AJ13" s="1085">
        <f t="shared" si="1"/>
        <v>0</v>
      </c>
      <c r="AK13" s="1085">
        <f t="shared" si="1"/>
        <v>0</v>
      </c>
      <c r="AL13" s="1085">
        <f t="shared" si="1"/>
        <v>200</v>
      </c>
      <c r="AM13" s="1085">
        <f t="shared" si="1"/>
        <v>488</v>
      </c>
      <c r="AN13" s="1085">
        <f t="shared" si="1"/>
        <v>0</v>
      </c>
      <c r="AO13" s="1085">
        <f t="shared" si="1"/>
        <v>0</v>
      </c>
      <c r="AP13" s="1090">
        <f>IF(ISNUMBER(((Datos!L13/Datos!K13)*11)/factor_trimestre),((Datos!L13/Datos!K13)*11)/factor_trimestre," - ")</f>
        <v>4.0624523990860624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-0.68181818181818177</v>
      </c>
      <c r="AU13" s="1085" t="str">
        <f>IF(ISNUMBER((DatosP!#REF!-DatosP!#REF!+DatosP!#REF!)/(DatosP!#REF!+DatosP!#REF!-DatosP!#REF!-DatosP!#REF!)),(DatosP!#REF!-DatosP!#REF!+DatosP!#REF!)/(DatosP!#REF!+DatosP!#REF!-DatosP!#REF!-DatosP!#REF!)," - ")</f>
        <v xml:space="preserve"> - </v>
      </c>
      <c r="AV13" s="1091">
        <f>SUBTOTAL(9,AV9:AV12)</f>
        <v>-6.7032297379646553E-3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2.9433155080213904</v>
      </c>
      <c r="AQ18" s="1090">
        <f>IF(ISNUMBER(((Datos!M18/Datos!L18)*11)/factor_trimestre),((Datos!M18/Datos!L18)*11)/factor_trimestre," - ")</f>
        <v>0.20348837209302326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-3.9800995024875621E-2</v>
      </c>
      <c r="AW18" s="1092">
        <f>IF(ISNUMBER((Datos!Q18-Datos!R18)/(Datos!S18-Datos!Q18+Datos!R18)),(Datos!Q18-Datos!R18)/(Datos!S18-Datos!Q18+Datos!R18)," - ")</f>
        <v>-0.11713286713286714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22</v>
      </c>
      <c r="G19" s="1097">
        <f t="shared" si="4"/>
        <v>22</v>
      </c>
      <c r="H19" s="1097">
        <f t="shared" si="4"/>
        <v>0</v>
      </c>
      <c r="I19" s="1098">
        <f t="shared" si="4"/>
        <v>0</v>
      </c>
      <c r="J19" s="1099">
        <f t="shared" si="4"/>
        <v>0</v>
      </c>
      <c r="K19" s="1099">
        <f t="shared" si="4"/>
        <v>0</v>
      </c>
      <c r="L19" s="1099">
        <f t="shared" si="4"/>
        <v>0</v>
      </c>
      <c r="M19" s="1099">
        <f t="shared" si="4"/>
        <v>0</v>
      </c>
      <c r="N19" s="1098">
        <f t="shared" si="4"/>
        <v>282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15</v>
      </c>
      <c r="AC19" s="1103">
        <f t="shared" si="5"/>
        <v>0</v>
      </c>
      <c r="AD19" s="1103">
        <f t="shared" si="5"/>
        <v>315</v>
      </c>
      <c r="AE19" s="1103">
        <f t="shared" si="5"/>
        <v>0</v>
      </c>
      <c r="AF19" s="1104">
        <f t="shared" si="5"/>
        <v>7</v>
      </c>
      <c r="AG19" s="1104">
        <f t="shared" si="5"/>
        <v>0</v>
      </c>
      <c r="AH19" s="1104">
        <f t="shared" si="5"/>
        <v>4890</v>
      </c>
      <c r="AI19" s="1104">
        <f t="shared" si="5"/>
        <v>0</v>
      </c>
      <c r="AJ19" s="1105">
        <f t="shared" si="5"/>
        <v>0</v>
      </c>
      <c r="AK19" s="1105">
        <f t="shared" si="5"/>
        <v>0</v>
      </c>
      <c r="AL19" s="1097">
        <f t="shared" si="5"/>
        <v>200</v>
      </c>
      <c r="AM19" s="1097">
        <f t="shared" si="5"/>
        <v>488</v>
      </c>
      <c r="AN19" s="1097">
        <f t="shared" si="5"/>
        <v>0</v>
      </c>
      <c r="AO19" s="1097">
        <f t="shared" si="5"/>
        <v>0</v>
      </c>
      <c r="AP19" s="1097">
        <f>IF(ISNUMBER(((Datos!L19/Datos!K19)*11)/factor_trimestre),((Datos!L19/Datos!K19)*11)/factor_trimestre," - ")</f>
        <v>3.5969750889679717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-0.68181818181818177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-7.9859758472925601E-3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14.666666666666666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12.701705922171765</v>
      </c>
      <c r="G21" s="870">
        <f>IF(ISNUMBER(STDEV(G8:G18)),STDEV(G8:G18),"-")</f>
        <v>12.701705922171765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8.6602540378443873</v>
      </c>
      <c r="AC21" s="871">
        <f>IF(ISNUMBER(STDEV(AC8:AC18)),STDEV(AC8:AC18),"-")</f>
        <v>0</v>
      </c>
      <c r="AD21" s="874"/>
      <c r="AE21" s="874"/>
      <c r="AF21" s="874"/>
      <c r="AG21" s="874"/>
      <c r="AH21" s="874"/>
      <c r="AI21" s="874"/>
      <c r="AJ21" s="875">
        <f>IF(ISNUMBER(STDEV(AJ8:AJ18)),STDEV(AJ8:AJ18),"-")</f>
        <v>0</v>
      </c>
      <c r="AK21" s="877"/>
      <c r="AL21" s="869">
        <f>IF(ISNUMBER(STDEV(AL8:AL18)),STDEV(AL8:AL18),"-")</f>
        <v>115.47005383792515</v>
      </c>
      <c r="AM21" s="869"/>
      <c r="AN21" s="869">
        <f>IF(ISNUMBER(STDEV(AN8:AN18)),STDEV(AN8:AN18),"-")</f>
        <v>0</v>
      </c>
      <c r="AO21" s="875">
        <f>IF(ISNUMBER(STDEV(AO8:AO18)),STDEV(AO8:AO18),"-")</f>
        <v>0</v>
      </c>
      <c r="AP21" s="922">
        <f>IF(ISNUMBER(STDEV(AP8:AP18)),STDEV(AP8:AP18),"-")</f>
        <v>1.4652075732647485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r3LSqDjRINAisDSpLgaWT7CpbaNAd8dh9VVvx9M134/jiLpKIlRRojdM7y758USvrMpuAG+wd3K72jZeqwhhYQ==" saltValue="PxJlgOEVtX1XFBexDrqt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CATARROJA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mynd7h7kRNbR9949FexVgjYab1nDw5X49xpEjY4dG0oJ2nwtr71Om17aRtnmUWiBHAD8WTWYDEQWDX+Nl29jMA==" saltValue="BBjafXbS8qQvRstGTd8O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CATARROJA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200</v>
      </c>
      <c r="E12" s="415">
        <f t="shared" si="0"/>
        <v>40</v>
      </c>
      <c r="F12" s="414">
        <f>IF(ISNUMBER(Datos!N12),Datos!N12," - ")</f>
        <v>488</v>
      </c>
      <c r="G12" s="415">
        <f t="shared" si="1"/>
        <v>97.6</v>
      </c>
      <c r="H12" s="414">
        <f>IF(ISNUMBER(Datos!O12),Datos!O12," - ")</f>
        <v>389</v>
      </c>
      <c r="I12" s="415">
        <f t="shared" si="2"/>
        <v>77.8</v>
      </c>
    </row>
    <row r="13" spans="1:9" ht="14.25" thickTop="1" thickBot="1">
      <c r="A13" s="994" t="str">
        <f>Datos!A13</f>
        <v>TOTAL</v>
      </c>
      <c r="B13" s="995">
        <f>Datos!AO13</f>
        <v>6</v>
      </c>
      <c r="C13" s="997">
        <f>Datos!AR13</f>
        <v>5</v>
      </c>
      <c r="D13" s="995">
        <f>SUBTOTAL(9,D9:D12)</f>
        <v>200</v>
      </c>
      <c r="E13" s="996">
        <f t="shared" si="0"/>
        <v>33.333333333333336</v>
      </c>
      <c r="F13" s="995">
        <f>SUBTOTAL(9,F9:F12)</f>
        <v>488</v>
      </c>
      <c r="G13" s="996">
        <f t="shared" si="1"/>
        <v>81.333333333333329</v>
      </c>
      <c r="H13" s="995">
        <f>SUBTOTAL(9,H9:H12)</f>
        <v>389</v>
      </c>
      <c r="I13" s="996">
        <f>IF(ISNUMBER(H13/B13),H13/B13," - ")</f>
        <v>64.833333333333329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136</v>
      </c>
      <c r="E16" s="415">
        <f t="shared" si="3"/>
        <v>27.2</v>
      </c>
      <c r="F16" s="414">
        <f>IF(ISNUMBER(Datos!N16),Datos!N16," - ")</f>
        <v>539</v>
      </c>
      <c r="G16" s="415">
        <f t="shared" si="4"/>
        <v>107.8</v>
      </c>
      <c r="H16" s="414">
        <f>IF(ISNUMBER(Datos!O16),Datos!O16," - ")</f>
        <v>37</v>
      </c>
      <c r="I16" s="415">
        <f t="shared" si="5"/>
        <v>7.4</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6</v>
      </c>
      <c r="C18" s="997">
        <f>Datos!AR18</f>
        <v>5</v>
      </c>
      <c r="D18" s="995">
        <f>SUBTOTAL(9,D15:D17)</f>
        <v>140</v>
      </c>
      <c r="E18" s="996">
        <f t="shared" si="3"/>
        <v>23.333333333333332</v>
      </c>
      <c r="F18" s="995">
        <f>SUBTOTAL(9,F15:F17)</f>
        <v>551</v>
      </c>
      <c r="G18" s="996">
        <f t="shared" si="4"/>
        <v>91.833333333333329</v>
      </c>
      <c r="H18" s="995">
        <f>SUBTOTAL(9,H15:H17)</f>
        <v>37</v>
      </c>
      <c r="I18" s="996">
        <f>IF(ISNUMBER(H18/B18),H18/B18," - ")</f>
        <v>6.166666666666667</v>
      </c>
    </row>
    <row r="19" spans="1:9" ht="14.25" thickTop="1" thickBot="1">
      <c r="A19" s="939" t="str">
        <f>Datos!A19</f>
        <v>TOTAL JURISDICCIONES</v>
      </c>
      <c r="B19" s="940">
        <f>Datos!AP19</f>
        <v>5</v>
      </c>
      <c r="C19" s="940">
        <f>Datos!AR19</f>
        <v>5</v>
      </c>
      <c r="D19" s="940">
        <f>SUBTOTAL(9,D8:D18)</f>
        <v>340</v>
      </c>
      <c r="E19" s="941">
        <f>IF(ISNUMBER(D19/B19),D19/B19," - ")</f>
        <v>68</v>
      </c>
      <c r="F19" s="940">
        <f>SUBTOTAL(9,F8:F18)</f>
        <v>1039</v>
      </c>
      <c r="G19" s="941">
        <f>IF(ISNUMBER(F19/B19),F19/B19," - ")</f>
        <v>207.8</v>
      </c>
      <c r="H19" s="940">
        <f>SUBTOTAL(9,H8:H18)</f>
        <v>426</v>
      </c>
      <c r="I19" s="941">
        <f>IF(ISNUMBER(H19/B19),H19/B19," - ")</f>
        <v>85.2</v>
      </c>
    </row>
    <row r="22" spans="1:9">
      <c r="A22" s="402" t="str">
        <f>Criterios!A4</f>
        <v>Fecha Informe: 29 nov. 2023</v>
      </c>
    </row>
    <row r="27" spans="1:9">
      <c r="A27" s="425"/>
    </row>
  </sheetData>
  <sheetProtection algorithmName="SHA-512" hashValue="O9/m7C3q9Ik79Q8q6YsupZiUuVaZl00TMjcHPEhy/c0a9R8WWvJkSXuuufO5SbSEC5WXq+G3IXGnofFdn62M1g==" saltValue="+QIvyJRyfcIexlfncMup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CATARROJA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282</v>
      </c>
      <c r="C12" s="450">
        <f>IF(ISNUMBER(Datos!Q12),Datos!Q12," - ")</f>
        <v>315</v>
      </c>
      <c r="D12" s="419">
        <f>IF(ISNUMBER(Datos!R12),Datos!R12," - ")</f>
        <v>4890</v>
      </c>
    </row>
    <row r="13" spans="1:4" ht="14.25" thickTop="1" thickBot="1">
      <c r="A13" s="994" t="str">
        <f>Datos!A13</f>
        <v>TOTAL</v>
      </c>
      <c r="B13" s="995">
        <f>SUBTOTAL(9,B9:B12)</f>
        <v>282</v>
      </c>
      <c r="C13" s="999">
        <f>SUBTOTAL(9,C9:C12)</f>
        <v>315</v>
      </c>
      <c r="D13" s="997">
        <f>SUBTOTAL(9,D9:D12)</f>
        <v>4900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51</v>
      </c>
      <c r="C16" s="450">
        <f>IF(ISNUMBER(Datos!Q16),Datos!Q16," - ")</f>
        <v>59</v>
      </c>
      <c r="D16" s="419">
        <f>IF(ISNUMBER(Datos!R16),Datos!R16," - ")</f>
        <v>193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51</v>
      </c>
      <c r="C18" s="999">
        <f>SUBTOTAL(9,C15:C17)</f>
        <v>59</v>
      </c>
      <c r="D18" s="997">
        <f>SUBTOTAL(9,D15:D17)</f>
        <v>193</v>
      </c>
    </row>
    <row r="19" spans="1:4" ht="16.5" customHeight="1" thickTop="1" thickBot="1">
      <c r="A19" s="939" t="str">
        <f>Datos!A19</f>
        <v>TOTAL JURISDICCIONES</v>
      </c>
      <c r="B19" s="944">
        <f>SUBTOTAL(9,B8:B18)</f>
        <v>333</v>
      </c>
      <c r="C19" s="945">
        <f>SUBTOTAL(9,C8:C18)</f>
        <v>374</v>
      </c>
      <c r="D19" s="946">
        <f>SUBTOTAL(9,D8:D18)</f>
        <v>5093</v>
      </c>
    </row>
    <row r="20" spans="1:4" ht="7.5" customHeight="1"/>
    <row r="21" spans="1:4" ht="6" customHeight="1"/>
    <row r="22" spans="1:4">
      <c r="A22" s="402" t="str">
        <f>Criterios!A4</f>
        <v>Fecha Informe: 29 nov. 2023</v>
      </c>
    </row>
    <row r="27" spans="1:4">
      <c r="A27" s="425"/>
    </row>
  </sheetData>
  <sheetProtection algorithmName="SHA-512" hashValue="4dNOWEfmoCjecclnWkkgyPZXjJPSGyH8HQ9U41Y5ryHhNHzz6i/Iq5J5Kb2mmQ4RI9oYkDVjtYda9LgD5duqBA==" saltValue="vyOQhURUJDogASSNZcSD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CATARROJA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-0.51111111111111107</v>
      </c>
      <c r="C10" s="472">
        <f>IF(ISNUMBER((Datos!J10-Datos!T10)/Datos!T10),(Datos!J10-Datos!T10)/Datos!T10," - ")</f>
        <v>-1</v>
      </c>
      <c r="D10" s="472">
        <f>IF(ISNUMBER((Datos!K10-Datos!U10)/Datos!U10),(Datos!K10-Datos!U10)/Datos!U10," - ")</f>
        <v>0.5</v>
      </c>
      <c r="E10" s="472">
        <f>IF(ISNUMBER((Datos!L10-Datos!V10)/Datos!V10),(Datos!L10-Datos!V10)/Datos!V10," - ")</f>
        <v>-0.81578947368421051</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f>IF(ISNUMBER(((NºAsuntos!I10/NºAsuntos!G10)-Datos!BE10)/Datos!BE10),((NºAsuntos!I10/NºAsuntos!G10)-Datos!BE10)/Datos!BE10," - ")</f>
        <v>-0.8771929824561403</v>
      </c>
      <c r="J10" s="477">
        <f>IF(ISNUMBER((('Resol  Asuntos'!D10/NºAsuntos!G10)-Datos!BF10)/Datos!BF10),(('Resol  Asuntos'!D10/NºAsuntos!G10)-Datos!BF10)/Datos!BF10," - ")</f>
        <v>-1</v>
      </c>
      <c r="K10" s="478">
        <f>IF(ISNUMBER((((NºAsuntos!C10+NºAsuntos!E10)/NºAsuntos!G10)-Datos!BG10)/Datos!BG10),(((NºAsuntos!C10+NºAsuntos!E10)/NºAsuntos!G10)-Datos!BG10)/Datos!BG10," - ")</f>
        <v>-0.69444444444444442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0.2968949383241174</v>
      </c>
      <c r="C12" s="472">
        <f>IF(ISNUMBER(
   IF(J_V="SI",(Datos!J12-Datos!T12)/Datos!T12,(Datos!J12+Datos!Z12-(Datos!T12+Datos!AH12))/(Datos!T12+Datos!AH12))
     ),IF(J_V="SI",(Datos!J12-Datos!T12)/Datos!T12,(Datos!J12+Datos!Z12-(Datos!T12+Datos!AH12))/(Datos!T12+Datos!AH12))," - ")</f>
        <v>-2.6747195858498704E-2</v>
      </c>
      <c r="D12" s="472">
        <f>IF(ISNUMBER(
   IF(J_V="SI",(Datos!K12-Datos!U12)/Datos!U12,(Datos!K12+Datos!AA12-(Datos!U12+Datos!AI12))/(Datos!U12+Datos!AI12))
     ),IF(J_V="SI",(Datos!K12-Datos!U12)/Datos!U12,(Datos!K12+Datos!AA12-(Datos!U12+Datos!AI12))/(Datos!U12+Datos!AI12))," - ")</f>
        <v>0.40485829959514169</v>
      </c>
      <c r="E12" s="472">
        <f>IF(ISNUMBER(
   IF(J_V="SI",(Datos!L12-Datos!V12)/Datos!V12,(Datos!L12+Datos!AB12-(Datos!V12+Datos!AJ12))/(Datos!V12+Datos!AJ12))
     ),IF(J_V="SI",(Datos!L12-Datos!V12)/Datos!V12,(Datos!L12+Datos!AB12-(Datos!V12+Datos!AJ12))/(Datos!V12+Datos!AJ12))," - ")</f>
        <v>0.11115537848605578</v>
      </c>
      <c r="F12" s="472">
        <f>IF(ISNUMBER((Datos!M12-Datos!W12)/Datos!W12),(Datos!M12-Datos!W12)/Datos!W12," - ")</f>
        <v>-9.9009900990099011E-3</v>
      </c>
      <c r="G12" s="473">
        <f>IF(ISNUMBER((Datos!N12-Datos!X12)/Datos!X12),(Datos!N12-Datos!X12)/Datos!X12," - ")</f>
        <v>-3.5573122529644272E-2</v>
      </c>
      <c r="H12" s="471">
        <f>IF(ISNUMBER(((NºAsuntos!G12/NºAsuntos!E12)-Datos!BD12)/Datos!BD12),((NºAsuntos!G12/NºAsuntos!E12)-Datos!BD12)/Datos!BD12," - ")</f>
        <v>0.44346699399890904</v>
      </c>
      <c r="I12" s="472">
        <f>IF(ISNUMBER(((NºAsuntos!I12/NºAsuntos!G12)-Datos!BE12)/Datos!BE12),((NºAsuntos!I12/NºAsuntos!G12)-Datos!BE12)/Datos!BE12," - ")</f>
        <v>-0.20906230983845597</v>
      </c>
      <c r="J12" s="477">
        <f>IF(ISNUMBER((('Resol  Asuntos'!D12/NºAsuntos!G12)-Datos!BF12)/Datos!BF12),(('Resol  Asuntos'!D12/NºAsuntos!G12)-Datos!BF12)/Datos!BF12," - ")</f>
        <v>-0.71864997551001819</v>
      </c>
      <c r="K12" s="478">
        <f>IF(ISNUMBER((((NºAsuntos!C12+NºAsuntos!E12)/NºAsuntos!G12)-Datos!BG12)/Datos!BG12),(((NºAsuntos!C12+NºAsuntos!E12)/NºAsuntos!G12)-Datos!BG12)/Datos!BG12," - ")</f>
        <v>-0.15291920162237166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0.28171953255425708</v>
      </c>
      <c r="C13" s="1001">
        <f>IF(ISNUMBER(
   IF(J_V="SI",(Datos!J13-Datos!T13)/Datos!T13,(Datos!J13+Datos!Z13-(Datos!T13+Datos!AH13))/(Datos!T13+Datos!AH13))
     ),IF(J_V="SI",(Datos!J13-Datos!T13)/Datos!T13,(Datos!J13+Datos!Z13-(Datos!T13+Datos!AH13))/(Datos!T13+Datos!AH13))," - ")</f>
        <v>-2.9259896729776247E-2</v>
      </c>
      <c r="D13" s="1001">
        <f>IF(ISNUMBER(
   IF(J_V="SI",(Datos!K13-Datos!U13)/Datos!U13,(Datos!K13+Datos!AA13-(Datos!U13+Datos!AI13))/(Datos!U13+Datos!AI13))
     ),IF(J_V="SI",(Datos!K13-Datos!U13)/Datos!U13,(Datos!K13+Datos!AA13-(Datos!U13+Datos!AI13))/(Datos!U13+Datos!AI13))," - ")</f>
        <v>0.405811623246493</v>
      </c>
      <c r="E13" s="1001">
        <f>IF(ISNUMBER(
   IF(J_V="SI",(Datos!L13-Datos!V13)/Datos!V13,(Datos!L13+Datos!AB13-(Datos!V13+Datos!AJ13))/(Datos!V13+Datos!AJ13))
     ),IF(J_V="SI",(Datos!L13-Datos!V13)/Datos!V13,(Datos!L13+Datos!AB13-(Datos!V13+Datos!AJ13))/(Datos!V13+Datos!AJ13))," - ")</f>
        <v>9.7331240188383045E-2</v>
      </c>
      <c r="F13" s="1002">
        <f>IF(ISNUMBER((Datos!M13-Datos!W13)/Datos!W13),(Datos!M13-Datos!W13)/Datos!W13," - ")</f>
        <v>-5.6603773584905662E-2</v>
      </c>
      <c r="G13" s="1003">
        <f>IF(ISNUMBER((Datos!N13-Datos!X13)/Datos!X13),(Datos!N13-Datos!X13)/Datos!X13," - ")</f>
        <v>-3.5573122529644272E-2</v>
      </c>
      <c r="H13" s="1003">
        <f>IF(ISNUMBER(((NºAsuntos!G13/NºAsuntos!E13)-Datos!BD13)/Datos!BD13),((NºAsuntos!G13/NºAsuntos!E13)-Datos!BD13)/Datos!BD13," - ")</f>
        <v>0.44818537784789442</v>
      </c>
      <c r="I13" s="1003">
        <f>IF(ISNUMBER(((NºAsuntos!I13/NºAsuntos!G13)-Datos!BE13)/Datos!BE13),((NºAsuntos!I13/NºAsuntos!G13)-Datos!BE13)/Datos!BE13," - ")</f>
        <v>-0.21943223256735125</v>
      </c>
      <c r="J13" s="1003">
        <f>IF(ISNUMBER((('Resol  Asuntos'!D13/NºAsuntos!G13)-Datos!BF13)/Datos!BF13),(('Resol  Asuntos'!D13/NºAsuntos!G13)-Datos!BF13)/Datos!BF13," - ")</f>
        <v>-0.72428958986004521</v>
      </c>
      <c r="K13" s="1003">
        <f>IF(ISNUMBER((((NºAsuntos!C13+NºAsuntos!E13)/NºAsuntos!G13)-Datos!BG13)/Datos!BG13),(((NºAsuntos!C13+NºAsuntos!E13)/NºAsuntos!G13)-Datos!BG13)/Datos!BG13," - ")</f>
        <v>-0.16051526941585464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0.59510567296996664</v>
      </c>
      <c r="C16" s="472">
        <f>IF(ISNUMBER(
   IF(D_I="SI",(Datos!J16-Datos!T16)/Datos!T16,(Datos!J16+Datos!AD16-(Datos!T16+Datos!AL16))/(Datos!T16+Datos!AL16))
     ),IF(D_I="SI",(Datos!J16-Datos!T16)/Datos!T16,(Datos!J16+Datos!AD16-(Datos!T16+Datos!AL16))/(Datos!T16+Datos!AL16))," - ")</f>
        <v>-0.29706390328151988</v>
      </c>
      <c r="D16" s="472">
        <f>IF(ISNUMBER(
   IF(D_I="SI",(Datos!K16-Datos!U16)/Datos!U16,(Datos!K16+Datos!AE16-(Datos!U16+Datos!AM16))/(Datos!U16+Datos!AM16))
     ),IF(D_I="SI",(Datos!K16-Datos!U16)/Datos!U16,(Datos!K16+Datos!AE16-(Datos!U16+Datos!AM16))/(Datos!U16+Datos!AM16))," - ")</f>
        <v>-0.22421142369991476</v>
      </c>
      <c r="E16" s="472">
        <f>IF(ISNUMBER(
   IF(D_I="SI",(Datos!L16-Datos!V16)/Datos!V16,(Datos!L16+Datos!AF16-(Datos!V16+Datos!AN16))/(Datos!V16+Datos!AN16))
     ),IF(D_I="SI",(Datos!L16-Datos!V16)/Datos!V16,(Datos!L16+Datos!AF16-(Datos!V16+Datos!AN16))/(Datos!V16+Datos!AN16))," - ")</f>
        <v>0.28530259365994237</v>
      </c>
      <c r="F16" s="472">
        <f>IF(ISNUMBER((Datos!M16-Datos!W16)/Datos!W16),(Datos!M16-Datos!W16)/Datos!W16," - ")</f>
        <v>-0.10526315789473684</v>
      </c>
      <c r="G16" s="473">
        <f>IF(ISNUMBER((Datos!N16-Datos!X16)/Datos!X16),(Datos!N16-Datos!X16)/Datos!X16," - ")</f>
        <v>-0.20501474926253688</v>
      </c>
      <c r="H16" s="471">
        <f>IF(ISNUMBER(((NºAsuntos!G16/NºAsuntos!E16)-Datos!BD16)/Datos!BD16),((NºAsuntos!G16/NºAsuntos!E16)-Datos!BD16)/Datos!BD16," - ")</f>
        <v>0.10364025965048987</v>
      </c>
      <c r="I16" s="472">
        <f>IF(ISNUMBER(((NºAsuntos!I16/NºAsuntos!G16)-Datos!BE16)/Datos!BE16),((NºAsuntos!I16/NºAsuntos!G16)-Datos!BE16)/Datos!BE16," - ")</f>
        <v>0.65676916743199187</v>
      </c>
      <c r="J16" s="477">
        <f>IF(ISNUMBER((('Resol  Asuntos'!D16/NºAsuntos!G16)-Datos!BF16)/Datos!BF16),(('Resol  Asuntos'!D16/NºAsuntos!G16)-Datos!BF16)/Datos!BF16," - ")</f>
        <v>0.15332562174667444</v>
      </c>
      <c r="K16" s="478">
        <f>IF(ISNUMBER((((NºAsuntos!C16+NºAsuntos!E16)/NºAsuntos!G16)-Datos!BG16)/Datos!BG16),(((NºAsuntos!C16+NºAsuntos!E16)/NºAsuntos!G16)-Datos!BG16)/Datos!BG16," - ")</f>
        <v>0.40870039051857238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-0.43243243243243246</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-0.82993197278911568</v>
      </c>
      <c r="E17" s="472">
        <f>IF(ISNUMBER(
   IF(D_I="SI",(Datos!L17-Datos!V17)/Datos!V17,(Datos!L17+Datos!AF17-(Datos!V17+Datos!AN17))/(Datos!V17+Datos!AN17))
     ),IF(D_I="SI",(Datos!L17-Datos!V17)/Datos!V17,(Datos!L17+Datos!AF17-(Datos!V17+Datos!AN17))/(Datos!V17+Datos!AN17))," - ")</f>
        <v>-0.68333333333333335</v>
      </c>
      <c r="F17" s="472">
        <f>IF(ISNUMBER((Datos!M17-Datos!W17)/Datos!W17),(Datos!M17-Datos!W17)/Datos!W17," - ")</f>
        <v>-0.88888888888888884</v>
      </c>
      <c r="G17" s="473">
        <f>IF(ISNUMBER((Datos!N17-Datos!X17)/Datos!X17),(Datos!N17-Datos!X17)/Datos!X17," - ")</f>
        <v>-0.82089552238805974</v>
      </c>
      <c r="H17" s="471" t="str">
        <f>IF(ISNUMBER(((NºAsuntos!G17/NºAsuntos!E17)-Datos!BD17)/Datos!BD17),((NºAsuntos!G17/NºAsuntos!E17)-Datos!BD17)/Datos!BD17," - ")</f>
        <v xml:space="preserve"> - </v>
      </c>
      <c r="I17" s="472">
        <f>IF(ISNUMBER(((NºAsuntos!I17/NºAsuntos!G17)-Datos!BE17)/Datos!BE17),((NºAsuntos!I17/NºAsuntos!G17)-Datos!BE17)/Datos!BE17," - ")</f>
        <v>0.86199999999999999</v>
      </c>
      <c r="J17" s="477">
        <f>IF(ISNUMBER((('Resol  Asuntos'!D17/NºAsuntos!G17)-Datos!BF17)/Datos!BF17),(('Resol  Asuntos'!D17/NºAsuntos!G17)-Datos!BF17)/Datos!BF17," - ")</f>
        <v>-0.34666666666666662</v>
      </c>
      <c r="K17" s="478">
        <f>IF(ISNUMBER((((NºAsuntos!C17+NºAsuntos!E17)/NºAsuntos!G17)-Datos!BG17)/Datos!BG17),(((NºAsuntos!C17+NºAsuntos!E17)/NºAsuntos!G17)-Datos!BG17)/Datos!BG17," - ")</f>
        <v>0.38741573033707866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0.48217821782178216</v>
      </c>
      <c r="C18" s="1001">
        <f>IF(ISNUMBER(
   IF(Criterios!B14="SI",(Datos!J18-Datos!T18)/Datos!T18,(Datos!J18+Datos!AD18-(Datos!T18+Datos!AL18))/(Datos!T18+Datos!AL18))
     ),IF(Criterios!B14="SI",(Datos!J18-Datos!T18)/Datos!T18,(Datos!J18+Datos!AD18-(Datos!T18+Datos!AL18))/(Datos!T18+Datos!AL18))," - ")</f>
        <v>-0.38051750380517502</v>
      </c>
      <c r="D18" s="1001">
        <f>IF(ISNUMBER(
   IF(Criterios!B14="SI",(Datos!K18-Datos!U18)/Datos!U18,(Datos!K18+Datos!AE18-(Datos!U18+Datos!AM18))/(Datos!U18+Datos!AM18))
     ),IF(Criterios!B14="SI",(Datos!K18-Datos!U18)/Datos!U18,(Datos!K18+Datos!AE18-(Datos!U18+Datos!AM18))/(Datos!U18+Datos!AM18))," - ")</f>
        <v>-0.29166666666666669</v>
      </c>
      <c r="E18" s="1001">
        <f>IF(ISNUMBER(
   IF(Criterios!B14="SI",(Datos!L18-Datos!V18)/Datos!V18,(Datos!L18+Datos!AF18-(Datos!V18+Datos!AN18))/(Datos!V18+Datos!AN18))
     ),IF(Criterios!B14="SI",(Datos!L18-Datos!V18)/Datos!V18,(Datos!L18+Datos!AF18-(Datos!V18+Datos!AN18))/(Datos!V18+Datos!AN18))," - ")</f>
        <v>0.18518518518518517</v>
      </c>
      <c r="F18" s="1002">
        <f>IF(ISNUMBER((Datos!M18-Datos!W18)/Datos!W18),(Datos!M18-Datos!W18)/Datos!W18," - ")</f>
        <v>-0.25531914893617019</v>
      </c>
      <c r="G18" s="1003">
        <f>IF(ISNUMBER((Datos!N18-Datos!X18)/Datos!X18),(Datos!N18-Datos!X18)/Datos!X18," - ")</f>
        <v>-0.26040268456375837</v>
      </c>
      <c r="H18" s="1003">
        <f>IF(ISNUMBER(((NºAsuntos!G18/NºAsuntos!E18)-Datos!BD18)/Datos!BD18),((NºAsuntos!G18/NºAsuntos!E18)-Datos!BD18)/Datos!BD18," - ")</f>
        <v>0.14342751842751852</v>
      </c>
      <c r="I18" s="1003">
        <f>IF(ISNUMBER(((NºAsuntos!I18/NºAsuntos!G18)-Datos!BE18)/Datos!BE18),((NºAsuntos!I18/NºAsuntos!G18)-Datos!BE18)/Datos!BE18," - ")</f>
        <v>0.67320261437908502</v>
      </c>
      <c r="J18" s="1003">
        <f>IF(ISNUMBER((('Resol  Asuntos'!D18/NºAsuntos!G18)-Datos!BF18)/Datos!BF18),(('Resol  Asuntos'!D18/NºAsuntos!G18)-Datos!BF18)/Datos!BF18," - ")</f>
        <v>5.1314142678347843E-2</v>
      </c>
      <c r="K18" s="1003">
        <f>IF(ISNUMBER((((NºAsuntos!C18+NºAsuntos!E18)/NºAsuntos!G18)-Datos!BG18)/Datos!BG18),(((NºAsuntos!C18+NºAsuntos!E18)/NºAsuntos!G18)-Datos!BG18)/Datos!BG18," - ")</f>
        <v>0.40386757112483557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0.34116265413975339</v>
      </c>
      <c r="C19" s="948">
        <f>IF(ISNUMBER(
   IF(J_V="SI",(Datos!J19-Datos!T19)/Datos!T19,(Datos!J19+Datos!Z19-(Datos!T19+Datos!AH19))/(Datos!T19+Datos!AH19))
     ),IF(J_V="SI",(Datos!J19-Datos!T19)/Datos!T19,(Datos!J19+Datos!Z19-(Datos!T19+Datos!AH19))/(Datos!T19+Datos!AH19))," - ")</f>
        <v>-0.21567043618739903</v>
      </c>
      <c r="D19" s="948">
        <f>IF(ISNUMBER(
   IF(J_V="SI",(Datos!K19-Datos!U19)/Datos!U19,(Datos!K19+Datos!AA19-(Datos!U19+Datos!AI19))/(Datos!U19+Datos!AI19))
     ),IF(J_V="SI",(Datos!K19-Datos!U19)/Datos!U19,(Datos!K19+Datos!AA19-(Datos!U19+Datos!AI19))/(Datos!U19+Datos!AI19))," - ")</f>
        <v>8.6281276962899053E-3</v>
      </c>
      <c r="E19" s="948">
        <f>IF(ISNUMBER(
   IF(J_V="SI",(Datos!L19-Datos!V19)/Datos!V19,(Datos!L19+Datos!AB19-(Datos!V19+Datos!AJ19))/(Datos!V19+Datos!AJ19))
     ),IF(J_V="SI",(Datos!L19-Datos!V19)/Datos!V19,(Datos!L19+Datos!AB19-(Datos!V19+Datos!AJ19))/(Datos!V19+Datos!AJ19))," - ")</f>
        <v>0.12483149096791588</v>
      </c>
      <c r="F19" s="949">
        <f>IF(ISNUMBER((Datos!M19-Datos!W19)/Datos!W19),(Datos!M19-Datos!W19)/Datos!W19," - ")</f>
        <v>-0.15</v>
      </c>
      <c r="G19" s="950">
        <f>IF(ISNUMBER((Datos!N19-Datos!X19)/Datos!X19),(Datos!N19-Datos!X19)/Datos!X19," - ")</f>
        <v>-0.16946442845723422</v>
      </c>
      <c r="H19" s="951">
        <f>IF(ISNUMBER((Tasas!B19-Datos!BD19)/Datos!BD19),(Tasas!B19-Datos!BD19)/Datos!BD19," - ")</f>
        <v>0.28597489401442516</v>
      </c>
      <c r="I19" s="952">
        <f>IF(ISNUMBER((Tasas!C19-Datos!BE19)/Datos!BE19),(Tasas!C19-Datos!BE19)/Datos!BE19," - ")</f>
        <v>0.11520932252507658</v>
      </c>
      <c r="J19" s="953">
        <f>IF(ISNUMBER((Tasas!D19-Datos!BF19)/Datos!BF19),(Tasas!D19-Datos!BF19)/Datos!BF19," - ")</f>
        <v>-0.52117680223967644</v>
      </c>
      <c r="K19" s="953">
        <f>IF(ISNUMBER((Tasas!E19-Datos!BG19)/Datos!BG19),(Tasas!E19-Datos!BG19)/Datos!BG19," - ")</f>
        <v>9.7298772058060021E-2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9u53asWpP++DhQ4SdZQJAAZF+8m+e4qOT+qeWCsLtJTFggyXvtNYzHt1E4QyX7FFTqLbHz9jAfad5zYC/r8zFA==" saltValue="Qs39v3w6YKXX4WuPUpOV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CATARROJA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0.46666666666666667</v>
      </c>
      <c r="D10" s="460">
        <f>IF(ISNUMBER('Resol  Asuntos'!D10/NºAsuntos!G10),'Resol  Asuntos'!D10/NºAsuntos!G10," - ")</f>
        <v>0</v>
      </c>
      <c r="E10" s="461">
        <f>IF(ISNUMBER((NºAsuntos!C10+NºAsuntos!E10)/NºAsuntos!G10),(NºAsuntos!C10+NºAsuntos!E10)/NºAsuntos!G10," - ")</f>
        <v>1.4666666666666666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1.2304964539007093</v>
      </c>
      <c r="C12" s="459">
        <f>IF(ISNUMBER(NºAsuntos!I12/NºAsuntos!G12),NºAsuntos!I12/NºAsuntos!G12," - ")</f>
        <v>2.0093659942363113</v>
      </c>
      <c r="D12" s="460">
        <f>IF(ISNUMBER('Resol  Asuntos'!D12/NºAsuntos!G12),'Resol  Asuntos'!D12/NºAsuntos!G12," - ")</f>
        <v>0.14409221902017291</v>
      </c>
      <c r="E12" s="461">
        <f>IF(ISNUMBER((NºAsuntos!C12+NºAsuntos!E12)/NºAsuntos!G12),(NºAsuntos!C12+NºAsuntos!E12)/NºAsuntos!G12," - ")</f>
        <v>3.0093659942363113</v>
      </c>
      <c r="G12" s="479"/>
    </row>
    <row r="13" spans="1:7" ht="14.25" thickTop="1" thickBot="1">
      <c r="A13" s="994" t="str">
        <f>Datos!A13</f>
        <v>TOTAL</v>
      </c>
      <c r="B13" s="1004">
        <f>IF(ISNUMBER(NºAsuntos!G13/NºAsuntos!E13),NºAsuntos!G13/NºAsuntos!E13," - ")</f>
        <v>1.2437943262411348</v>
      </c>
      <c r="C13" s="1005">
        <f>IF(ISNUMBER(NºAsuntos!I13/NºAsuntos!G13),NºAsuntos!I13/NºAsuntos!G13," - ")</f>
        <v>1.9928724162508908</v>
      </c>
      <c r="D13" s="1006">
        <f>IF(ISNUMBER('Resol  Asuntos'!D13/NºAsuntos!G13),'Resol  Asuntos'!D13/NºAsuntos!G13," - ")</f>
        <v>0.14255167498218105</v>
      </c>
      <c r="E13" s="1007">
        <f>IF(ISNUMBER((NºAsuntos!C13+NºAsuntos!E13)/NºAsuntos!G13),(NºAsuntos!C13+NºAsuntos!E13)/NºAsuntos!G13," - ")</f>
        <v>2.9928724162508908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1.117936117936118</v>
      </c>
      <c r="C16" s="459">
        <f>IF(ISNUMBER(NºAsuntos!I16/NºAsuntos!G16),NºAsuntos!I16/NºAsuntos!G16," - ")</f>
        <v>1.4703296703296704</v>
      </c>
      <c r="D16" s="460">
        <f>IF(ISNUMBER('Resol  Asuntos'!D16/NºAsuntos!G16),'Resol  Asuntos'!D16/NºAsuntos!G16," - ")</f>
        <v>0.14945054945054945</v>
      </c>
      <c r="E16" s="461">
        <f>IF(ISNUMBER((NºAsuntos!C16+NºAsuntos!E16)/NºAsuntos!G16),(NºAsuntos!C16+NºAsuntos!E16)/NºAsuntos!G16," - ")</f>
        <v>2.4703296703296704</v>
      </c>
      <c r="G16" s="479"/>
    </row>
    <row r="17" spans="1:7" ht="13.5" thickBot="1">
      <c r="A17" s="413" t="str">
        <f>Datos!A17</f>
        <v>Jdos. Violencia contra la mujer</v>
      </c>
      <c r="B17" s="458" t="str">
        <f>IF(ISNUMBER(NºAsuntos!G17/NºAsuntos!E17),NºAsuntos!G17/NºAsuntos!E17," - ")</f>
        <v xml:space="preserve"> - </v>
      </c>
      <c r="C17" s="459">
        <f>IF(ISNUMBER(NºAsuntos!I17/NºAsuntos!G17),NºAsuntos!I17/NºAsuntos!G17," - ")</f>
        <v>1.52</v>
      </c>
      <c r="D17" s="460">
        <f>IF(ISNUMBER('Resol  Asuntos'!D17/NºAsuntos!G17),'Resol  Asuntos'!D17/NºAsuntos!G17," - ")</f>
        <v>0.16</v>
      </c>
      <c r="E17" s="461">
        <f>IF(ISNUMBER((NºAsuntos!C17+NºAsuntos!E17)/NºAsuntos!G17),(NºAsuntos!C17+NºAsuntos!E17)/NºAsuntos!G17," - ")</f>
        <v>2.52</v>
      </c>
      <c r="G17" s="479"/>
    </row>
    <row r="18" spans="1:7" ht="14.25" thickTop="1" thickBot="1">
      <c r="A18" s="994" t="str">
        <f>Datos!A18</f>
        <v>TOTAL</v>
      </c>
      <c r="B18" s="1004">
        <f>IF(ISNUMBER(NºAsuntos!G18/NºAsuntos!E18),NºAsuntos!G18/NºAsuntos!E18," - ")</f>
        <v>1.1486486486486487</v>
      </c>
      <c r="C18" s="1005">
        <f>IF(ISNUMBER(NºAsuntos!I18/NºAsuntos!G18),NºAsuntos!I18/NºAsuntos!G18," - ")</f>
        <v>1.4716577540106952</v>
      </c>
      <c r="D18" s="1008">
        <f>IF(ISNUMBER('Resol  Asuntos'!D18/NºAsuntos!G18),'Resol  Asuntos'!D18/NºAsuntos!G18," - ")</f>
        <v>0.1497326203208556</v>
      </c>
      <c r="E18" s="1007">
        <f>IF(ISNUMBER((NºAsuntos!C18+NºAsuntos!E18)/NºAsuntos!G18),(NºAsuntos!C18+NºAsuntos!E18)/NºAsuntos!G18," - ")</f>
        <v>2.4716577540106952</v>
      </c>
      <c r="G18" s="479"/>
    </row>
    <row r="19" spans="1:7" ht="15.75" customHeight="1" thickTop="1" thickBot="1">
      <c r="A19" s="939" t="str">
        <f>Datos!A19</f>
        <v>TOTAL JURISDICCIONES</v>
      </c>
      <c r="B19" s="954">
        <f>IF(ISNUMBER(NºAsuntos!G19/NºAsuntos!E19),NºAsuntos!G19/NºAsuntos!E19," - ")</f>
        <v>1.203913491246138</v>
      </c>
      <c r="C19" s="955">
        <f>IF(ISNUMBER(NºAsuntos!I19/NºAsuntos!G19),NºAsuntos!I19/NºAsuntos!G19," - ")</f>
        <v>1.784431137724551</v>
      </c>
      <c r="D19" s="956">
        <f>IF(ISNUMBER('Resol  Asuntos'!D19/NºAsuntos!G19),'Resol  Asuntos'!D19/NºAsuntos!G19," - ")</f>
        <v>0.14542343883661249</v>
      </c>
      <c r="E19" s="957">
        <f>IF(ISNUMBER((NºAsuntos!C19+NºAsuntos!E19)/NºAsuntos!G19),(NºAsuntos!C19+NºAsuntos!E19)/NºAsuntos!G19," - ")</f>
        <v>2.784431137724551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uQpKQaWNCMnlit7gbKwMsMLG+tOTEB7l/L7o3vNpINbs+y8ORVQb8Y3pI21c1/6U4Vm+9GlMYkqAJB/3OiSiw==" saltValue="5zfR+B46igJ4DuwTfGkq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CATARROJA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22</v>
      </c>
      <c r="G10" s="342">
        <f>IF(ISNUMBER(Datos!I10),Datos!I10," - ")</f>
        <v>22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15</v>
      </c>
      <c r="X10" s="230">
        <f>IF(ISNUMBER(Datos!Q10),Datos!Q10," - ")</f>
        <v>0</v>
      </c>
      <c r="Y10" s="343">
        <f t="shared" ref="Y10:Y12" si="0">SUM(W10:X10)</f>
        <v>15</v>
      </c>
      <c r="Z10" s="344" t="str">
        <f>IF(ISNUMBER(Datos!CC10),Datos!CC10," - ")</f>
        <v xml:space="preserve"> - </v>
      </c>
      <c r="AA10" s="341">
        <f>IF(ISNUMBER(Datos!L10),Datos!L10,"-")</f>
        <v>7</v>
      </c>
      <c r="AB10" s="343">
        <f>IF(ISNUMBER(Datos!R10),Datos!R10," - ")</f>
        <v>10</v>
      </c>
      <c r="AC10" s="343">
        <f t="shared" ref="AC10:AC12" si="1">IF(ISNUMBER(AA10+AB10),AA10+AB10," - ")</f>
        <v>17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0.93333333333333346</v>
      </c>
      <c r="AN10" s="248">
        <f>IF(ISNUMBER('Resol  Asuntos'!D10/NºAsuntos!G10),'Resol  Asuntos'!D10/NºAsuntos!G10," - ")</f>
        <v>0</v>
      </c>
      <c r="AO10" s="249">
        <f>IF(ISNUMBER((NºAsuntos!C10+NºAsuntos!E10)/NºAsuntos!G10),(NºAsuntos!C10+NºAsuntos!E10)/NºAsuntos!G10," - ")</f>
        <v>1.4666666666666666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315</v>
      </c>
      <c r="Y12" s="343">
        <f t="shared" si="0"/>
        <v>315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4890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200</v>
      </c>
      <c r="AJ12" s="233" t="str">
        <f>IF(ISNUMBER(Datos!BW12),Datos!BW12," - ")</f>
        <v xml:space="preserve"> - </v>
      </c>
      <c r="AK12" s="232" t="str">
        <f>IF(ISNUMBER(Datos!BX12),Datos!BX12," - ")</f>
        <v xml:space="preserve"> - </v>
      </c>
      <c r="AL12" s="247">
        <f>IF(ISNUMBER(NºAsuntos!G12/NºAsuntos!E12),NºAsuntos!G12/NºAsuntos!E12," - ")</f>
        <v>1.2304964539007093</v>
      </c>
      <c r="AM12" s="264">
        <f>IF(ISNUMBER(((NºAsuntos!I12/NºAsuntos!G12)*11)/factor_trimestre),((NºAsuntos!I12/NºAsuntos!G12)*11)/factor_trimestre," - ")</f>
        <v>4.0187319884726227</v>
      </c>
      <c r="AN12" s="248">
        <f>IF(ISNUMBER('Resol  Asuntos'!D12/NºAsuntos!G12),'Resol  Asuntos'!D12/NºAsuntos!G12," - ")</f>
        <v>0.14409221902017291</v>
      </c>
      <c r="AO12" s="249">
        <f>IF(ISNUMBER((NºAsuntos!C12+NºAsuntos!E12)/NºAsuntos!G12),(NºAsuntos!C12+NºAsuntos!E12)/NºAsuntos!G12," - ")</f>
        <v>3.0093659942363113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22</v>
      </c>
      <c r="G13" s="1012">
        <f t="shared" si="3"/>
        <v>22</v>
      </c>
      <c r="H13" s="1011">
        <f t="shared" si="3"/>
        <v>0</v>
      </c>
      <c r="I13" s="1013">
        <f t="shared" si="3"/>
        <v>0</v>
      </c>
      <c r="J13" s="1013">
        <f t="shared" si="3"/>
        <v>0</v>
      </c>
      <c r="K13" s="1013">
        <f t="shared" si="3"/>
        <v>0</v>
      </c>
      <c r="L13" s="1013">
        <f t="shared" si="3"/>
        <v>282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15</v>
      </c>
      <c r="X13" s="1013">
        <f t="shared" si="4"/>
        <v>315</v>
      </c>
      <c r="Y13" s="1014">
        <f t="shared" si="4"/>
        <v>330</v>
      </c>
      <c r="Z13" s="1014">
        <f t="shared" si="4"/>
        <v>0</v>
      </c>
      <c r="AA13" s="1014">
        <f t="shared" si="4"/>
        <v>7</v>
      </c>
      <c r="AB13" s="1014">
        <f t="shared" si="4"/>
        <v>4900</v>
      </c>
      <c r="AC13" s="1014">
        <f t="shared" si="4"/>
        <v>17</v>
      </c>
      <c r="AD13" s="1014">
        <f t="shared" si="4"/>
        <v>0</v>
      </c>
      <c r="AE13" s="1018">
        <f t="shared" si="4"/>
        <v>0</v>
      </c>
      <c r="AF13" s="1011">
        <f t="shared" si="4"/>
        <v>0</v>
      </c>
      <c r="AG13" s="1019">
        <f t="shared" si="4"/>
        <v>0</v>
      </c>
      <c r="AH13" s="1016">
        <f t="shared" si="4"/>
        <v>0</v>
      </c>
      <c r="AI13" s="1011">
        <f t="shared" si="4"/>
        <v>200</v>
      </c>
      <c r="AJ13" s="1013">
        <f t="shared" si="4"/>
        <v>0</v>
      </c>
      <c r="AK13" s="1016">
        <f>SUBTOTAL(9,AK9:AK12)</f>
        <v>0</v>
      </c>
      <c r="AL13" s="1020">
        <f>IF(ISNUMBER(NºAsuntos!G13/NºAsuntos!E13),NºAsuntos!G13/NºAsuntos!E13," - ")</f>
        <v>1.2437943262411348</v>
      </c>
      <c r="AM13" s="1020">
        <f>IF(ISNUMBER(((NºAsuntos!I13/NºAsuntos!G13)*11)/factor_trimestre),((NºAsuntos!I13/NºAsuntos!G13)*11)/factor_trimestre," - ")</f>
        <v>3.9857448325017817</v>
      </c>
      <c r="AN13" s="1021">
        <f>IF(ISNUMBER('Resol  Asuntos'!D13/NºAsuntos!G13),'Resol  Asuntos'!D13/NºAsuntos!G13," - ")</f>
        <v>0.14255167498218105</v>
      </c>
      <c r="AO13" s="1022">
        <f>IF(ISNUMBER((NºAsuntos!C13+NºAsuntos!E13)/NºAsuntos!G13),(NºAsuntos!C13+NºAsuntos!E13)/NºAsuntos!G13," - ")</f>
        <v>2.9928724162508908</v>
      </c>
      <c r="AP13" s="1023" t="str">
        <f t="shared" si="2"/>
        <v xml:space="preserve"> - </v>
      </c>
      <c r="AQ13" s="1023">
        <f>IF(ISNUMBER((H13-W13+K13)/(F13)),(H13-W13+K13)/(F13)," - ")</f>
        <v>-0.68181818181818177</v>
      </c>
      <c r="AR13" s="1024">
        <f>IF(ISNUMBER((Datos!P13-Datos!Q13)/(Datos!R13-Datos!P13+Datos!Q13)),(Datos!P13-Datos!Q13)/(Datos!R13-Datos!P13+Datos!Q13)," - ")</f>
        <v>-6.6896411919724307E-3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1434</v>
      </c>
      <c r="G16" s="342">
        <f>IF(ISNUMBER(IF(D_I="SI",Datos!I16,Datos!I16+Datos!AC16)),IF(D_I="SI",Datos!I16,Datos!I16+Datos!AC16)," - ")</f>
        <v>1434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910</v>
      </c>
      <c r="X16" s="230">
        <f>IF(ISNUMBER(Datos!Q16),Datos!Q16," - ")</f>
        <v>59</v>
      </c>
      <c r="Y16" s="343">
        <f t="shared" ref="Y16:Y17" si="7">SUM(W16:X16)</f>
        <v>969</v>
      </c>
      <c r="Z16" s="344" t="str">
        <f>IF(ISNUMBER(Datos!CC16),Datos!CC16," - ")</f>
        <v xml:space="preserve"> - </v>
      </c>
      <c r="AA16" s="341">
        <f>IF(ISNUMBER(IF(D_I="SI",Datos!L16,Datos!L16+Datos!AF16)),IF(D_I="SI",Datos!L16,Datos!L16+Datos!AF16)," - ")</f>
        <v>1338</v>
      </c>
      <c r="AB16" s="343">
        <f>IF(ISNUMBER(Datos!R16),Datos!R16," - ")</f>
        <v>193</v>
      </c>
      <c r="AC16" s="343">
        <f t="shared" si="6"/>
        <v>1531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136</v>
      </c>
      <c r="AJ16" s="235" t="str">
        <f>IF(ISNUMBER(Datos!BW16),Datos!BW16," - ")</f>
        <v xml:space="preserve"> - </v>
      </c>
      <c r="AK16" s="236" t="str">
        <f>IF(ISNUMBER(Datos!BX16),Datos!BX16," - ")</f>
        <v xml:space="preserve"> - </v>
      </c>
      <c r="AL16" s="247">
        <f>IF(ISNUMBER(NºAsuntos!G16/NºAsuntos!E16),NºAsuntos!G16/NºAsuntos!E16," - ")</f>
        <v>1.117936117936118</v>
      </c>
      <c r="AM16" s="264">
        <f>IF(ISNUMBER(((NºAsuntos!I16/NºAsuntos!G16)*11)/factor_trimestre),((NºAsuntos!I16/NºAsuntos!G16)*11)/factor_trimestre," - ")</f>
        <v>2.9406593406593413</v>
      </c>
      <c r="AN16" s="248">
        <f>IF(ISNUMBER('Resol  Asuntos'!D16/NºAsuntos!G16),'Resol  Asuntos'!D16/NºAsuntos!G16," - ")</f>
        <v>0.14945054945054945</v>
      </c>
      <c r="AO16" s="249">
        <f>IF(ISNUMBER((NºAsuntos!C16+NºAsuntos!E16)/NºAsuntos!G16),(NºAsuntos!C16+NºAsuntos!E16)/NºAsuntos!G16," - ")</f>
        <v>2.4703296703296704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25</v>
      </c>
      <c r="X17" s="230">
        <f>IF(ISNUMBER(Datos!Q17),Datos!Q17," - ")</f>
        <v>0</v>
      </c>
      <c r="Y17" s="343">
        <f t="shared" si="7"/>
        <v>25</v>
      </c>
      <c r="Z17" s="344" t="str">
        <f>IF(ISNUMBER(Datos!CC17),Datos!CC17," - ")</f>
        <v xml:space="preserve"> - </v>
      </c>
      <c r="AA17" s="341">
        <f>IF(ISNUMBER(Datos!L17),Datos!L17,"-")</f>
        <v>38</v>
      </c>
      <c r="AB17" s="343">
        <f>IF(ISNUMBER(Datos!R17),Datos!R17," - ")</f>
        <v>0</v>
      </c>
      <c r="AC17" s="343">
        <f t="shared" si="6"/>
        <v>38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t="str">
        <f>IF(ISNUMBER(NºAsuntos!G17/NºAsuntos!E17),NºAsuntos!G17/NºAsuntos!E17," - ")</f>
        <v xml:space="preserve"> - </v>
      </c>
      <c r="AM17" s="264">
        <f>IF(ISNUMBER(((NºAsuntos!I17/NºAsuntos!G17)*11)/factor_trimestre),((NºAsuntos!I17/NºAsuntos!G17)*11)/factor_trimestre," - ")</f>
        <v>3.0399999999999996</v>
      </c>
      <c r="AN17" s="248">
        <f>IF(ISNUMBER('Resol  Asuntos'!D17/NºAsuntos!G17),'Resol  Asuntos'!D17/NºAsuntos!G17," - ")</f>
        <v>0.16</v>
      </c>
      <c r="AO17" s="249">
        <f>IF(ISNUMBER((NºAsuntos!C17+NºAsuntos!E17)/NºAsuntos!G17),(NºAsuntos!C17+NºAsuntos!E17)/NºAsuntos!G17," - ")</f>
        <v>2.52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1434</v>
      </c>
      <c r="G18" s="1012">
        <f>SUBTOTAL(9,G15:G17)</f>
        <v>1497</v>
      </c>
      <c r="H18" s="1011">
        <f t="shared" ref="H18:O18" si="10">SUBTOTAL(9,H14:H17)</f>
        <v>0</v>
      </c>
      <c r="I18" s="1013">
        <f t="shared" si="10"/>
        <v>0</v>
      </c>
      <c r="J18" s="1013">
        <f t="shared" si="10"/>
        <v>0</v>
      </c>
      <c r="K18" s="1013">
        <f t="shared" si="10"/>
        <v>0</v>
      </c>
      <c r="L18" s="1013">
        <f t="shared" si="10"/>
        <v>51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935</v>
      </c>
      <c r="X18" s="1013">
        <f t="shared" si="11"/>
        <v>59</v>
      </c>
      <c r="Y18" s="1014">
        <f t="shared" si="11"/>
        <v>994</v>
      </c>
      <c r="Z18" s="1014">
        <f t="shared" si="11"/>
        <v>0</v>
      </c>
      <c r="AA18" s="1014">
        <f t="shared" si="11"/>
        <v>1376</v>
      </c>
      <c r="AB18" s="1014">
        <f t="shared" si="11"/>
        <v>193</v>
      </c>
      <c r="AC18" s="1014">
        <f t="shared" si="11"/>
        <v>1569</v>
      </c>
      <c r="AD18" s="1014">
        <f t="shared" si="11"/>
        <v>0</v>
      </c>
      <c r="AE18" s="1018">
        <f t="shared" si="11"/>
        <v>0</v>
      </c>
      <c r="AF18" s="1011">
        <f t="shared" si="11"/>
        <v>0</v>
      </c>
      <c r="AG18" s="1019">
        <f t="shared" si="11"/>
        <v>0</v>
      </c>
      <c r="AH18" s="1016">
        <f t="shared" si="11"/>
        <v>0</v>
      </c>
      <c r="AI18" s="1011">
        <f t="shared" si="11"/>
        <v>140</v>
      </c>
      <c r="AJ18" s="1013">
        <f t="shared" si="11"/>
        <v>0</v>
      </c>
      <c r="AK18" s="1016">
        <f t="shared" si="11"/>
        <v>0</v>
      </c>
      <c r="AL18" s="1020">
        <f>IF(ISNUMBER(NºAsuntos!G18/NºAsuntos!E18),NºAsuntos!G18/NºAsuntos!E18," - ")</f>
        <v>1.1486486486486487</v>
      </c>
      <c r="AM18" s="1020">
        <f>IF(ISNUMBER(((NºAsuntos!I18/NºAsuntos!G18)*11)/factor_trimestre),((NºAsuntos!I18/NºAsuntos!G18)*11)/factor_trimestre," - ")</f>
        <v>2.9433155080213904</v>
      </c>
      <c r="AN18" s="1021">
        <f>IF(ISNUMBER('Resol  Asuntos'!D18/NºAsuntos!G18),'Resol  Asuntos'!D18/NºAsuntos!G18," - ")</f>
        <v>0.1497326203208556</v>
      </c>
      <c r="AO18" s="1022">
        <f>IF(ISNUMBER((NºAsuntos!C18+NºAsuntos!E18)/NºAsuntos!G18),(NºAsuntos!C18+NºAsuntos!E18)/NºAsuntos!G18," - ")</f>
        <v>2.4716577540106952</v>
      </c>
      <c r="AP18" s="1023" t="str">
        <f t="shared" si="2"/>
        <v xml:space="preserve"> - </v>
      </c>
      <c r="AQ18" s="1023">
        <f>IF(ISNUMBER((H18-W18+K18)/(F18)),(H18-W18+K18)/(F18)," - ")</f>
        <v>-0.65202231520223153</v>
      </c>
      <c r="AR18" s="1024">
        <f>IF(ISNUMBER((Datos!P18-Datos!Q18)/(Datos!R18-Datos!P18+Datos!Q18)),(Datos!P18-Datos!Q18)/(Datos!R18-Datos!P18+Datos!Q18)," - ")</f>
        <v>-3.9800995024875621E-2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1456</v>
      </c>
      <c r="G19" s="967">
        <f t="shared" si="13"/>
        <v>1519</v>
      </c>
      <c r="H19" s="966">
        <f t="shared" si="13"/>
        <v>0</v>
      </c>
      <c r="I19" s="968">
        <f t="shared" si="13"/>
        <v>0</v>
      </c>
      <c r="J19" s="968">
        <f t="shared" si="13"/>
        <v>0</v>
      </c>
      <c r="K19" s="1027">
        <f t="shared" si="13"/>
        <v>0</v>
      </c>
      <c r="L19" s="968">
        <f t="shared" si="13"/>
        <v>333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950</v>
      </c>
      <c r="X19" s="967">
        <f t="shared" si="14"/>
        <v>374</v>
      </c>
      <c r="Y19" s="974">
        <f t="shared" si="14"/>
        <v>1324</v>
      </c>
      <c r="Z19" s="974">
        <f t="shared" si="14"/>
        <v>0</v>
      </c>
      <c r="AA19" s="974">
        <f t="shared" si="14"/>
        <v>1383</v>
      </c>
      <c r="AB19" s="974">
        <f t="shared" si="14"/>
        <v>5093</v>
      </c>
      <c r="AC19" s="974">
        <f t="shared" si="14"/>
        <v>1586</v>
      </c>
      <c r="AD19" s="974">
        <f t="shared" si="14"/>
        <v>0</v>
      </c>
      <c r="AE19" s="976">
        <f t="shared" si="14"/>
        <v>0</v>
      </c>
      <c r="AF19" s="977">
        <f t="shared" si="14"/>
        <v>0</v>
      </c>
      <c r="AG19" s="978">
        <f t="shared" si="14"/>
        <v>0</v>
      </c>
      <c r="AH19" s="976">
        <f t="shared" si="14"/>
        <v>0</v>
      </c>
      <c r="AI19" s="966">
        <f t="shared" si="14"/>
        <v>340</v>
      </c>
      <c r="AJ19" s="966">
        <f t="shared" si="14"/>
        <v>0</v>
      </c>
      <c r="AK19" s="976">
        <f t="shared" si="14"/>
        <v>0</v>
      </c>
      <c r="AL19" s="1030">
        <f>IF(ISNUMBER(NºAsuntos!G19/NºAsuntos!E19),NºAsuntos!G19/NºAsuntos!E19," - ")</f>
        <v>1.203913491246138</v>
      </c>
      <c r="AM19" s="1031">
        <f>IF(ISNUMBER(((NºAsuntos!I19/NºAsuntos!G19)*11)/factor_trimestre),((NºAsuntos!I19/NºAsuntos!G19)*11)/factor_trimestre," - ")</f>
        <v>3.568862275449102</v>
      </c>
      <c r="AN19" s="1031">
        <f>IF(ISNUMBER('Resol  Asuntos'!D19/NºAsuntos!G19),'Resol  Asuntos'!D19/NºAsuntos!G19," - ")</f>
        <v>0.14542343883661249</v>
      </c>
      <c r="AO19" s="1032">
        <f>IF(ISNUMBER((NºAsuntos!C19+NºAsuntos!E19)/NºAsuntos!G19),(NºAsuntos!C19+NºAsuntos!E19)/NºAsuntos!G19," - ")</f>
        <v>2.784431137724551</v>
      </c>
      <c r="AP19" s="1033" t="str">
        <f t="shared" si="2"/>
        <v xml:space="preserve"> - </v>
      </c>
      <c r="AQ19" s="1034">
        <f>IF(OR(ISNUMBER(FIND("01",Criterios!A8,1)),ISNUMBER(FIND("02",Criterios!A8,1)),ISNUMBER(FIND("03",Criterios!A8,1)),ISNUMBER(FIND("04",Criterios!A8,1))),(I19-W19+K19)/(F19-K19),(H19-W19+K19)/(F19-K19))</f>
        <v>-0.65247252747252749</v>
      </c>
      <c r="AR19" s="1035">
        <f>IF(ISNUMBER((Datos!P19-Datos!Q19)/(Datos!R19-Datos!P19+Datos!Q19)),(Datos!P19-Datos!Q19)/(Datos!R19-Datos!P19+Datos!Q19)," - ")</f>
        <v>-7.9859758472925601E-3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607.6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815.21858009575158</v>
      </c>
      <c r="G21" s="257">
        <f>IF(ISNUMBER(STDEV(G8:G18)),STDEV(G8:G18),"-")</f>
        <v>783.64743348013337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495.32817404222021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90.603899842482861</v>
      </c>
      <c r="AJ21" s="256">
        <f t="shared" si="18"/>
        <v>0</v>
      </c>
      <c r="AK21" s="258">
        <f t="shared" si="18"/>
        <v>0</v>
      </c>
      <c r="AL21" s="253">
        <f t="shared" si="18"/>
        <v>6.1496594736940254E-2</v>
      </c>
      <c r="AM21" s="254">
        <f t="shared" si="18"/>
        <v>1.1212287365357558</v>
      </c>
      <c r="AN21" s="254">
        <f t="shared" si="18"/>
        <v>6.1203274038849197E-2</v>
      </c>
      <c r="AO21" s="255">
        <f t="shared" si="18"/>
        <v>0.56061436826787825</v>
      </c>
      <c r="AP21" s="295" t="str">
        <f t="shared" si="18"/>
        <v>-</v>
      </c>
      <c r="AQ21" s="296">
        <f t="shared" si="18"/>
        <v>2.1068859335468284E-2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EGCkNWQ6vOEyI0zDP8NTnDqiSmKujXxAsCaxhyNRDZ0KoUlvOJvkmGWJgXbMmYAM04Gt2JsFN7egqxmzk58uOQ==" saltValue="8ElHS2xYhQklnx1J2SOp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CATARROJA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-0.51111111111111107</v>
      </c>
      <c r="E10" s="357">
        <f>IF(ISNUMBER((Datos!J10-Datos!T10)/Datos!T10),(Datos!J10-Datos!T10)/Datos!T10," - ")</f>
        <v>-1</v>
      </c>
      <c r="F10" s="357">
        <f>IF(ISNUMBER((Datos!K10-Datos!U10)/Datos!U10),(Datos!K10-Datos!U10)/Datos!U10," - ")</f>
        <v>0.5</v>
      </c>
      <c r="G10" s="358">
        <f>IF(ISNUMBER((Datos!L10-Datos!V10)/Datos!V10),(Datos!L10-Datos!V10)/Datos!V10," - ")</f>
        <v>-0.81578947368421051</v>
      </c>
      <c r="H10" s="234">
        <f>IF(ISNUMBER((Datos!M10-Datos!W10)/Datos!W10),(Datos!M10-Datos!W10)/Datos!W10," - ")</f>
        <v>-1</v>
      </c>
      <c r="I10" s="359">
        <f>IF(ISNUMBER((Tasas!C10-Datos!BE10)/Datos!BE10),(Tasas!C10-Datos!BE10)/Datos!BE10," - ")</f>
        <v>-0.8771929824561403</v>
      </c>
      <c r="J10" s="358">
        <f>IF(ISNUMBER((Tasas!D10-Datos!BF10)/Datos!BF10),(Tasas!D10-Datos!BF10)/Datos!BF10," - ")</f>
        <v>-1</v>
      </c>
      <c r="K10" s="360">
        <f>IF(ISNUMBER((Tasas!E10-Datos!BG10)/Datos!BG10),(Tasas!E10-Datos!BG10)/Datos!BG10," - ")</f>
        <v>-0.69444444444444442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-9.9009900990099011E-3</v>
      </c>
      <c r="I12" s="359">
        <f>IF(ISNUMBER((Tasas!C12-Datos!BE12)/Datos!BE12),(Tasas!C12-Datos!BE12)/Datos!BE12," - ")</f>
        <v>-0.20906230983845597</v>
      </c>
      <c r="J12" s="358">
        <f>IF(ISNUMBER((Tasas!D12-Datos!BF12)/Datos!BF12),(Tasas!D12-Datos!BF12)/Datos!BF12," - ")</f>
        <v>-0.71864997551001819</v>
      </c>
      <c r="K12" s="360">
        <f>IF(ISNUMBER((Tasas!E12-Datos!BG12)/Datos!BG12),(Tasas!E12-Datos!BG12)/Datos!BG12," - ")</f>
        <v>-0.15291920162237166</v>
      </c>
      <c r="M12" t="e">
        <f>IF(Monitorios="SI",Datos!CE12,0)</f>
        <v>#REF!</v>
      </c>
      <c r="N12" t="e">
        <f>IF(Monitorios="SI",Datos!CF12,0)</f>
        <v>#REF!</v>
      </c>
      <c r="O12" t="e">
        <f>IF(Monitorios="SI",Datos!CG12,0)</f>
        <v>#REF!</v>
      </c>
      <c r="P12" t="e">
        <f>IF(Monitorios="SI",Datos!CH12,0)</f>
        <v>#REF!</v>
      </c>
      <c r="Q12">
        <f>IF(J_V="SI",0,Datos!AG12)</f>
        <v>126</v>
      </c>
      <c r="R12">
        <f>IF(J_V="SI",0,Datos!AH12)</f>
        <v>93</v>
      </c>
      <c r="S12">
        <f>IF(J_V="SI",0,Datos!AI12)</f>
        <v>101</v>
      </c>
      <c r="T12">
        <f>IF(J_V="SI",0,Datos!AJ12)</f>
        <v>118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-5.6603773584905662E-2</v>
      </c>
      <c r="I13" s="366">
        <f>IF(ISNUMBER((Tasas!C13-Datos!BE13)/Datos!BE13),(Tasas!C13-Datos!BE13)/Datos!BE13," - ")</f>
        <v>-0.21943223256735125</v>
      </c>
      <c r="J13" s="364">
        <f>IF(ISNUMBER((Tasas!D13-Datos!BF13)/Datos!BF13),(Tasas!D13-Datos!BF13)/Datos!BF13," - ")</f>
        <v>-0.72428958986004521</v>
      </c>
      <c r="K13" s="367">
        <f>IF(ISNUMBER((Tasas!E13-Datos!BG13)/Datos!BG13),(Tasas!E13-Datos!BG13)/Datos!BG13," - ")</f>
        <v>-0.16051526941585464</v>
      </c>
      <c r="M13" t="e">
        <f>IF(Monitorios="SI",Datos!CE13,0)</f>
        <v>#REF!</v>
      </c>
      <c r="N13" t="e">
        <f>IF(Monitorios="SI",Datos!CF13,0)</f>
        <v>#REF!</v>
      </c>
      <c r="O13" t="e">
        <f>IF(Monitorios="SI",Datos!CG13,0)</f>
        <v>#REF!</v>
      </c>
      <c r="P13" t="e">
        <f>IF(Monitorios="SI",Datos!CH13,0)</f>
        <v>#REF!</v>
      </c>
      <c r="Q13">
        <f>IF(J_V="SI",0,Datos!AG13)</f>
        <v>126</v>
      </c>
      <c r="R13">
        <f>IF(J_V="SI",0,Datos!AH13)</f>
        <v>93</v>
      </c>
      <c r="S13">
        <f>IF(J_V="SI",0,Datos!AI13)</f>
        <v>101</v>
      </c>
      <c r="T13">
        <f>IF(J_V="SI",0,Datos!AJ13)</f>
        <v>118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0.59510567296996664</v>
      </c>
      <c r="E16" s="357">
        <f>IF(ISNUMBER(
   IF(D_I="SI",(Datos!J16-Datos!T16)/Datos!T16,(Datos!J16+Datos!AD16-(Datos!T16+Datos!AL16))/(Datos!T16+Datos!AL16))
     ),IF(D_I="SI",(Datos!J16-Datos!T16)/Datos!T16,(Datos!J16+Datos!AD16-(Datos!T16+Datos!AL16))/(Datos!T16+Datos!AL16))," - ")</f>
        <v>-0.29706390328151988</v>
      </c>
      <c r="F16" s="357">
        <f>IF(ISNUMBER(
   IF(D_I="SI",(Datos!K16-Datos!U16)/Datos!U16,(Datos!K16+Datos!AE16-(Datos!U16+Datos!AM16))/(Datos!U16+Datos!AM16))
     ),IF(D_I="SI",(Datos!K16-Datos!U16)/Datos!U16,(Datos!K16+Datos!AE16-(Datos!U16+Datos!AM16))/(Datos!U16+Datos!AM16))," - ")</f>
        <v>-0.22421142369991476</v>
      </c>
      <c r="G16" s="358">
        <f>IF(ISNUMBER(
   IF(D_I="SI",(Datos!L16-Datos!V16)/Datos!V16,(Datos!L16+Datos!AF16-(Datos!V16+Datos!AN16))/(Datos!V16+Datos!AN16))
     ),IF(D_I="SI",(Datos!L16-Datos!V16)/Datos!V16,(Datos!L16+Datos!AF16-(Datos!V16+Datos!AN16))/(Datos!V16+Datos!AN16))," - ")</f>
        <v>0.28530259365994237</v>
      </c>
      <c r="H16" s="234">
        <f>IF(ISNUMBER((Datos!M16-Datos!W16)/Datos!W16),(Datos!M16-Datos!W16)/Datos!W16," - ")</f>
        <v>-0.10526315789473684</v>
      </c>
      <c r="I16" s="359">
        <f>IF(ISNUMBER((Tasas!C16-Datos!BE16)/Datos!BE16),(Tasas!C16-Datos!BE16)/Datos!BE16," - ")</f>
        <v>0.65676916743199187</v>
      </c>
      <c r="J16" s="358">
        <f>IF(ISNUMBER((Tasas!D16-Datos!BF16)/Datos!BF16),(Tasas!D16-Datos!BF16)/Datos!BF16," - ")</f>
        <v>0.15332562174667444</v>
      </c>
      <c r="K16" s="360">
        <f>IF(ISNUMBER((Tasas!E16-Datos!BG16)/Datos!BG16),(Tasas!E16-Datos!BG16)/Datos!BG16," - ")</f>
        <v>0.40870039051857238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-0.43243243243243246</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-0.82993197278911568</v>
      </c>
      <c r="G17" s="358">
        <f>IF(ISNUMBER(
   IF(D_I="SI",(Datos!L17-Datos!V17)/Datos!V17,(Datos!L17+Datos!AF17-(Datos!V17+Datos!AN17))/(Datos!V17+Datos!AN17))
     ),IF(D_I="SI",(Datos!L17-Datos!V17)/Datos!V17,(Datos!L17+Datos!AF17-(Datos!V17+Datos!AN17))/(Datos!V17+Datos!AN17))," - ")</f>
        <v>-0.68333333333333335</v>
      </c>
      <c r="H17" s="234">
        <f>IF(ISNUMBER((Datos!M17-Datos!W17)/Datos!W17),(Datos!M17-Datos!W17)/Datos!W17," - ")</f>
        <v>-0.88888888888888884</v>
      </c>
      <c r="I17" s="359">
        <f>IF(ISNUMBER((Tasas!C17-Datos!BE17)/Datos!BE17),(Tasas!C17-Datos!BE17)/Datos!BE17," - ")</f>
        <v>0.86199999999999999</v>
      </c>
      <c r="J17" s="358">
        <f>IF(ISNUMBER((Tasas!D17-Datos!BF17)/Datos!BF17),(Tasas!D17-Datos!BF17)/Datos!BF17," - ")</f>
        <v>-0.34666666666666662</v>
      </c>
      <c r="K17" s="360">
        <f>IF(ISNUMBER((Tasas!E17-Datos!BG17)/Datos!BG17),(Tasas!E17-Datos!BG17)/Datos!BG17," - ")</f>
        <v>0.38741573033707866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0.48217821782178216</v>
      </c>
      <c r="E18" s="363">
        <f>IF(ISNUMBER(
   IF(D_I="SI",(Datos!J18-Datos!T18)/Datos!T18,(Datos!J18+Datos!AD18-(Datos!T18+Datos!AL18))/(Datos!T18+Datos!AL18))
     ),IF(D_I="SI",(Datos!J18-Datos!T18)/Datos!T18,(Datos!J18+Datos!AD18-(Datos!T18+Datos!AL18))/(Datos!T18+Datos!AL18))," - ")</f>
        <v>-0.38051750380517502</v>
      </c>
      <c r="F18" s="363">
        <f>IF(ISNUMBER(
   IF(D_I="SI",(Datos!K18-Datos!U18)/Datos!U18,(Datos!K18+Datos!AE18-(Datos!U18+Datos!AM18))/(Datos!U18+Datos!AM18))
     ),IF(D_I="SI",(Datos!K18-Datos!U18)/Datos!U18,(Datos!K18+Datos!AE18-(Datos!U18+Datos!AM18))/(Datos!U18+Datos!AM18))," - ")</f>
        <v>-0.29166666666666669</v>
      </c>
      <c r="G18" s="364">
        <f>IF(ISNUMBER(
   IF(D_I="SI",(Datos!L18-Datos!V18)/Datos!V18,(Datos!L18+Datos!AF18-(Datos!V18+Datos!AN18))/(Datos!V18+Datos!AN18))
     ),IF(D_I="SI",(Datos!L18-Datos!V18)/Datos!V18,(Datos!L18+Datos!AF18-(Datos!V18+Datos!AN18))/(Datos!V18+Datos!AN18))," - ")</f>
        <v>0.18518518518518517</v>
      </c>
      <c r="H18" s="365">
        <f>IF(ISNUMBER((Datos!M18-Datos!W18)/Datos!W18),(Datos!M18-Datos!W18)/Datos!W18," - ")</f>
        <v>-0.25531914893617019</v>
      </c>
      <c r="I18" s="366">
        <f>IF(ISNUMBER((Tasas!C18-Datos!BE18)/Datos!BE18),(Tasas!C18-Datos!BE18)/Datos!BE18," - ")</f>
        <v>0.67320261437908502</v>
      </c>
      <c r="J18" s="364">
        <f>IF(ISNUMBER((Tasas!D18-Datos!BF18)/Datos!BF18),(Tasas!D18-Datos!BF18)/Datos!BF18," - ")</f>
        <v>5.1314142678347843E-2</v>
      </c>
      <c r="K18" s="367">
        <f>IF(ISNUMBER((Tasas!E18-Datos!BG18)/Datos!BG18),(Tasas!E18-Datos!BG18)/Datos!BG18," - ")</f>
        <v>0.40386757112483557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0.34116265413975339</v>
      </c>
      <c r="E19" s="372">
        <f>IF(ISNUMBER(
   IF(J_V="SI",(Datos!J19-Datos!T19)/Datos!T19,(Datos!J19+Datos!Z19-(Datos!T19+Datos!AH19))/(Datos!T19+Datos!AH19))
     ),IF(J_V="SI",(Datos!J19-Datos!T19)/Datos!T19,(Datos!J19+Datos!Z19-(Datos!T19+Datos!AH19))/(Datos!T19+Datos!AH19))," - ")</f>
        <v>-0.21567043618739903</v>
      </c>
      <c r="F19" s="372">
        <f>IF(ISNUMBER(
   IF(J_V="SI",(Datos!K19-Datos!U19)/Datos!U19,(Datos!K19+Datos!AA19-(Datos!U19+Datos!AI19))/(Datos!U19+Datos!AI19))
     ),IF(J_V="SI",(Datos!K19-Datos!U19)/Datos!U19,(Datos!K19+Datos!AA19-(Datos!U19+Datos!AI19))/(Datos!U19+Datos!AI19))," - ")</f>
        <v>8.6281276962899053E-3</v>
      </c>
      <c r="G19" s="373">
        <f>IF(ISNUMBER(
   IF(J_V="SI",(Datos!L19-Datos!V19)/Datos!V19,(Datos!L19+Datos!AB19-(Datos!V19+Datos!AJ19))/(Datos!V19+Datos!AJ19))
     ),IF(J_V="SI",(Datos!L19-Datos!V19)/Datos!V19,(Datos!L19+Datos!AB19-(Datos!V19+Datos!AJ19))/(Datos!V19+Datos!AJ19))," - ")</f>
        <v>0.12483149096791588</v>
      </c>
      <c r="H19" s="374">
        <f>IF(ISNUMBER((Datos!M19-Datos!W19)/Datos!W19),(Datos!M19-Datos!W19)/Datos!W19," - ")</f>
        <v>-0.15</v>
      </c>
      <c r="I19" s="371">
        <f>IF(ISNUMBER((Tasas!C19-Datos!BE19)/Datos!BE19),(Tasas!C19-Datos!BE19)/Datos!BE19," - ")</f>
        <v>0.11520932252507658</v>
      </c>
      <c r="J19" s="372">
        <f>IF(ISNUMBER((Tasas!D19-Datos!BF19)/Datos!BF19),(Tasas!D19-Datos!BF19)/Datos!BF19," - ")</f>
        <v>-0.52117680223967644</v>
      </c>
      <c r="K19" s="373">
        <f>IF(ISNUMBER((Tasas!E19-Datos!BG19)/Datos!BG19),(Tasas!E19-Datos!BG19)/Datos!BG19," - ")</f>
        <v>9.7298772058060021E-2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0.58606238352328277</v>
      </c>
      <c r="E21" s="282">
        <f t="shared" si="1"/>
        <v>0.38326665453740449</v>
      </c>
      <c r="F21" s="282">
        <f t="shared" si="1"/>
        <v>0.54628399838843278</v>
      </c>
      <c r="G21" s="283">
        <f t="shared" si="1"/>
        <v>0.57260385587354379</v>
      </c>
      <c r="H21" s="289">
        <f t="shared" si="1"/>
        <v>0.44175473580859043</v>
      </c>
      <c r="I21" s="281">
        <f t="shared" si="1"/>
        <v>0.68673138142434553</v>
      </c>
      <c r="J21" s="282">
        <f t="shared" si="1"/>
        <v>0.46339995456796346</v>
      </c>
      <c r="K21" s="283">
        <f t="shared" si="1"/>
        <v>0.44843902264713648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2UMYvAKyAfSwuHF5JymhnOwN/sIExfE2+wc4L4H6xwoQ+/tkt25LjesTyUZDlv1OjOrZrdAajr+Ugl4oP0R0w==" saltValue="hDTv4ZmZ56xPrDwuywHuI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